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یکم سامان\افشای پرتفو\1402\"/>
    </mc:Choice>
  </mc:AlternateContent>
  <xr:revisionPtr revIDLastSave="0" documentId="13_ncr:1_{22F9FCFF-3081-4DC6-B4BE-3AA873A19374}" xr6:coauthVersionLast="45" xr6:coauthVersionMax="47" xr10:uidLastSave="{00000000-0000-0000-0000-000000000000}"/>
  <bookViews>
    <workbookView xWindow="-120" yWindow="-120" windowWidth="29040" windowHeight="15840" tabRatio="840" activeTab="8" xr2:uid="{31CDDA24-030D-41DB-95DF-C92F068A451F}"/>
  </bookViews>
  <sheets>
    <sheet name="روکش" sheetId="22" r:id="rId1"/>
    <sheet name="سهام" sheetId="3" r:id="rId2"/>
    <sheet name="سپرده" sheetId="10" r:id="rId3"/>
    <sheet name="درآمدها" sheetId="11" r:id="rId4"/>
    <sheet name="درآمد ناشی از فروش اوراق" sheetId="16" r:id="rId5"/>
    <sheet name="درآمد ناشی از تغییر قیمت اوراق " sheetId="15" r:id="rId6"/>
    <sheet name="درآمد سپرده" sheetId="19" r:id="rId7"/>
    <sheet name="درآمد سود سهام" sheetId="13" r:id="rId8"/>
    <sheet name="درآمد سرمایه گذاری در سهام " sheetId="14" r:id="rId9"/>
    <sheet name="سود اوراق بهادار و سپرده بانکی" sheetId="24" r:id="rId10"/>
    <sheet name="سایر درآمدها" sheetId="18" r:id="rId11"/>
  </sheets>
  <definedNames>
    <definedName name="data">سهام!$X$8:$AF$58</definedName>
    <definedName name="data2">سهام!$X$8:$X$58</definedName>
    <definedName name="data22">سهام!$X$8:$Z$58</definedName>
    <definedName name="data3">'درآمد ناشی از تغییر قیمت اوراق '!$R$42:$T$58</definedName>
    <definedName name="data5">سهام!$A$8:$U$60</definedName>
    <definedName name="data6">سهام!$AK$11:$AM$38</definedName>
    <definedName name="_xlnm.Print_Area" localSheetId="6">'درآمد سپرده'!$A$1:$K$16</definedName>
    <definedName name="_xlnm.Print_Area" localSheetId="8">'درآمد سرمایه گذاری در سهام '!$A$1:$S$65</definedName>
    <definedName name="_xlnm.Print_Area" localSheetId="7">'درآمد سود سهام'!$A$1:$S$19</definedName>
    <definedName name="_xlnm.Print_Area" localSheetId="5">'درآمد ناشی از تغییر قیمت اوراق '!$A$1:$Q$54</definedName>
    <definedName name="_xlnm.Print_Area" localSheetId="4">'درآمد ناشی از فروش اوراق'!$A$1:$Q$22</definedName>
    <definedName name="_xlnm.Print_Area" localSheetId="3">درآمدها!$A$1:$I$12</definedName>
    <definedName name="_xlnm.Print_Area" localSheetId="0">روکش!$A$1:$I$31</definedName>
    <definedName name="_xlnm.Print_Area" localSheetId="10">'سایر درآمدها'!$A$1:$E$14</definedName>
    <definedName name="_xlnm.Print_Area" localSheetId="2">سپرده!$A$1:$R$19</definedName>
    <definedName name="_xlnm.Print_Area" localSheetId="9">'سود اوراق بهادار و سپرده بانکی'!$A$1:$O$15</definedName>
    <definedName name="_xlnm.Print_Area" localSheetId="1">سهام!$A$1:$W$61</definedName>
    <definedName name="_xlnm.Print_Titles" localSheetId="6">'درآمد سپرده'!$1:$8</definedName>
    <definedName name="_xlnm.Print_Titles" localSheetId="8">'درآمد سرمایه گذاری در سهام '!$1:$8</definedName>
    <definedName name="_xlnm.Print_Titles" localSheetId="5">'درآمد ناشی از تغییر قیمت اوراق '!$1:$8</definedName>
    <definedName name="_xlnm.Print_Titles" localSheetId="4">'درآمد ناشی از فروش اوراق'!$1:$8</definedName>
    <definedName name="_xlnm.Print_Titles" localSheetId="2">سپرده!$1:$8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1" l="1"/>
  <c r="S10" i="14"/>
  <c r="S64" i="14" s="1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39" i="14"/>
  <c r="S40" i="14"/>
  <c r="S41" i="14"/>
  <c r="S42" i="14"/>
  <c r="S43" i="14"/>
  <c r="S44" i="14"/>
  <c r="S45" i="14"/>
  <c r="S46" i="14"/>
  <c r="S47" i="14"/>
  <c r="S48" i="14"/>
  <c r="S49" i="14"/>
  <c r="S50" i="14"/>
  <c r="S51" i="14"/>
  <c r="S52" i="14"/>
  <c r="S53" i="14"/>
  <c r="S54" i="14"/>
  <c r="S55" i="14"/>
  <c r="S56" i="14"/>
  <c r="S57" i="14"/>
  <c r="S58" i="14"/>
  <c r="S59" i="14"/>
  <c r="S60" i="14"/>
  <c r="S61" i="14"/>
  <c r="S62" i="14"/>
  <c r="S63" i="14"/>
  <c r="S9" i="14"/>
  <c r="Q64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59" i="14"/>
  <c r="Q60" i="14"/>
  <c r="Q61" i="14"/>
  <c r="Q62" i="14"/>
  <c r="Q63" i="14"/>
  <c r="Q9" i="14"/>
  <c r="I64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9" i="14"/>
  <c r="E64" i="14"/>
  <c r="G64" i="14"/>
  <c r="C64" i="14"/>
  <c r="J61" i="3"/>
  <c r="E12" i="18"/>
  <c r="E11" i="18"/>
  <c r="E10" i="18"/>
  <c r="E9" i="18"/>
  <c r="C12" i="18"/>
  <c r="C11" i="18"/>
  <c r="C10" i="18"/>
  <c r="C9" i="18"/>
  <c r="K17" i="13" l="1"/>
  <c r="K18" i="13"/>
  <c r="K16" i="13"/>
  <c r="Q16" i="13" s="1"/>
  <c r="S16" i="13" s="1"/>
  <c r="K15" i="13"/>
  <c r="K14" i="13"/>
  <c r="Q10" i="13"/>
  <c r="Q11" i="13"/>
  <c r="Q12" i="13"/>
  <c r="Q13" i="13"/>
  <c r="S13" i="13" s="1"/>
  <c r="Q14" i="13"/>
  <c r="Q15" i="13"/>
  <c r="Q17" i="13"/>
  <c r="Q9" i="13"/>
  <c r="K13" i="13"/>
  <c r="S12" i="13"/>
  <c r="K12" i="13"/>
  <c r="K9" i="13"/>
  <c r="E14" i="13"/>
  <c r="G14" i="13" s="1"/>
  <c r="E13" i="13"/>
  <c r="G9" i="13"/>
  <c r="G10" i="13"/>
  <c r="G11" i="13"/>
  <c r="G12" i="13"/>
  <c r="G13" i="13"/>
  <c r="G15" i="13"/>
  <c r="E15" i="13"/>
  <c r="G16" i="13"/>
  <c r="E16" i="13"/>
  <c r="G17" i="13"/>
  <c r="E17" i="13"/>
  <c r="S10" i="13"/>
  <c r="S11" i="13"/>
  <c r="S14" i="13"/>
  <c r="S15" i="13"/>
  <c r="M10" i="13"/>
  <c r="M11" i="13"/>
  <c r="M12" i="13"/>
  <c r="M13" i="13"/>
  <c r="M14" i="13"/>
  <c r="M15" i="13"/>
  <c r="M16" i="13"/>
  <c r="I18" i="13"/>
  <c r="O12" i="16"/>
  <c r="C37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9" i="15"/>
  <c r="U47" i="3" l="1"/>
  <c r="U48" i="3"/>
  <c r="E24" i="15"/>
  <c r="G24" i="15" s="1"/>
  <c r="E25" i="15"/>
  <c r="G25" i="15" s="1"/>
  <c r="E10" i="15"/>
  <c r="G10" i="15" s="1"/>
  <c r="E11" i="15"/>
  <c r="G11" i="15" s="1"/>
  <c r="E12" i="15"/>
  <c r="G12" i="15" s="1"/>
  <c r="E13" i="15"/>
  <c r="G13" i="15" s="1"/>
  <c r="E14" i="15"/>
  <c r="G14" i="15" s="1"/>
  <c r="E15" i="15"/>
  <c r="G15" i="15" s="1"/>
  <c r="E16" i="15"/>
  <c r="G16" i="15" s="1"/>
  <c r="E17" i="15"/>
  <c r="G17" i="15" s="1"/>
  <c r="E18" i="15"/>
  <c r="G18" i="15" s="1"/>
  <c r="E19" i="15"/>
  <c r="G19" i="15" s="1"/>
  <c r="E20" i="15"/>
  <c r="G20" i="15" s="1"/>
  <c r="E21" i="15"/>
  <c r="G21" i="15" s="1"/>
  <c r="E22" i="15"/>
  <c r="G22" i="15" s="1"/>
  <c r="E23" i="15"/>
  <c r="G23" i="15" s="1"/>
  <c r="E26" i="15"/>
  <c r="G26" i="15" s="1"/>
  <c r="E27" i="15"/>
  <c r="G27" i="15" s="1"/>
  <c r="E28" i="15"/>
  <c r="G28" i="15" s="1"/>
  <c r="E29" i="15"/>
  <c r="G29" i="15" s="1"/>
  <c r="E30" i="15"/>
  <c r="G30" i="15" s="1"/>
  <c r="E31" i="15"/>
  <c r="G31" i="15" s="1"/>
  <c r="E32" i="15"/>
  <c r="G32" i="15" s="1"/>
  <c r="E33" i="15"/>
  <c r="G33" i="15" s="1"/>
  <c r="E34" i="15"/>
  <c r="G34" i="15" s="1"/>
  <c r="E35" i="15"/>
  <c r="G35" i="15" s="1"/>
  <c r="E36" i="15"/>
  <c r="G36" i="15" s="1"/>
  <c r="E37" i="15"/>
  <c r="G37" i="15" s="1"/>
  <c r="E38" i="15"/>
  <c r="G38" i="15" s="1"/>
  <c r="E39" i="15"/>
  <c r="G39" i="15" s="1"/>
  <c r="E40" i="15"/>
  <c r="G40" i="15" s="1"/>
  <c r="E41" i="15"/>
  <c r="G41" i="15" s="1"/>
  <c r="E42" i="15"/>
  <c r="G42" i="15" s="1"/>
  <c r="E43" i="15"/>
  <c r="G43" i="15" s="1"/>
  <c r="E44" i="15"/>
  <c r="G44" i="15" s="1"/>
  <c r="E45" i="15"/>
  <c r="G45" i="15" s="1"/>
  <c r="E46" i="15"/>
  <c r="G46" i="15" s="1"/>
  <c r="E47" i="15"/>
  <c r="G47" i="15" s="1"/>
  <c r="E48" i="15"/>
  <c r="G48" i="15" s="1"/>
  <c r="E49" i="15"/>
  <c r="G49" i="15" s="1"/>
  <c r="E50" i="15"/>
  <c r="G50" i="15" s="1"/>
  <c r="E51" i="15"/>
  <c r="G51" i="15" s="1"/>
  <c r="E52" i="15"/>
  <c r="G52" i="15" s="1"/>
  <c r="E9" i="15"/>
  <c r="G9" i="15" s="1"/>
  <c r="Q53" i="15"/>
  <c r="I53" i="15"/>
  <c r="Q19" i="16"/>
  <c r="Q18" i="16"/>
  <c r="Q17" i="16"/>
  <c r="Q16" i="16"/>
  <c r="Q15" i="16"/>
  <c r="Q14" i="16"/>
  <c r="Q13" i="16"/>
  <c r="Q11" i="16"/>
  <c r="Q10" i="16"/>
  <c r="Q9" i="16"/>
  <c r="G20" i="16"/>
  <c r="E20" i="16"/>
  <c r="I10" i="16"/>
  <c r="I11" i="16"/>
  <c r="I13" i="16"/>
  <c r="I14" i="16"/>
  <c r="I15" i="16"/>
  <c r="I16" i="16"/>
  <c r="I17" i="16"/>
  <c r="I18" i="16"/>
  <c r="I19" i="16"/>
  <c r="I9" i="16"/>
  <c r="R10" i="10" l="1"/>
  <c r="R11" i="10"/>
  <c r="R12" i="10"/>
  <c r="R13" i="10"/>
  <c r="R14" i="10"/>
  <c r="R15" i="10"/>
  <c r="R16" i="10"/>
  <c r="R17" i="10"/>
  <c r="R9" i="10"/>
  <c r="W32" i="3"/>
  <c r="W33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U61" i="3"/>
  <c r="S61" i="3"/>
  <c r="W50" i="3"/>
  <c r="W51" i="3"/>
  <c r="W52" i="3"/>
  <c r="W53" i="3"/>
  <c r="W54" i="3"/>
  <c r="W55" i="3"/>
  <c r="W56" i="3"/>
  <c r="W57" i="3"/>
  <c r="W58" i="3"/>
  <c r="W59" i="3"/>
  <c r="W60" i="3"/>
  <c r="AG8" i="3"/>
  <c r="R18" i="10" l="1"/>
  <c r="Q18" i="13"/>
  <c r="O18" i="13"/>
  <c r="W35" i="3" l="1"/>
  <c r="W18" i="3"/>
  <c r="W13" i="3"/>
  <c r="W19" i="3"/>
  <c r="W20" i="3"/>
  <c r="W23" i="3"/>
  <c r="W27" i="3"/>
  <c r="W42" i="3"/>
  <c r="W47" i="3"/>
  <c r="W16" i="3"/>
  <c r="W26" i="3"/>
  <c r="W21" i="3"/>
  <c r="W8" i="3"/>
  <c r="W28" i="3"/>
  <c r="W49" i="3"/>
  <c r="W12" i="3"/>
  <c r="W31" i="3"/>
  <c r="W30" i="3"/>
  <c r="W11" i="3"/>
  <c r="W43" i="3"/>
  <c r="W14" i="3"/>
  <c r="W22" i="3"/>
  <c r="W45" i="3"/>
  <c r="W44" i="3"/>
  <c r="W46" i="3"/>
  <c r="W39" i="3"/>
  <c r="W41" i="3"/>
  <c r="W37" i="3"/>
  <c r="W29" i="3"/>
  <c r="W17" i="3"/>
  <c r="W24" i="3"/>
  <c r="W34" i="3"/>
  <c r="W9" i="3"/>
  <c r="W15" i="3"/>
  <c r="W25" i="3"/>
  <c r="W38" i="3"/>
  <c r="W40" i="3"/>
  <c r="W48" i="3"/>
  <c r="W10" i="3"/>
  <c r="W36" i="3"/>
  <c r="Q20" i="16"/>
  <c r="K64" i="14"/>
  <c r="M64" i="14"/>
  <c r="S17" i="13"/>
  <c r="S9" i="13"/>
  <c r="M17" i="13"/>
  <c r="M9" i="13"/>
  <c r="M18" i="13" l="1"/>
  <c r="S18" i="13"/>
  <c r="W61" i="3"/>
  <c r="O64" i="14"/>
  <c r="O10" i="24" l="1"/>
  <c r="O11" i="24"/>
  <c r="O12" i="24"/>
  <c r="O13" i="24"/>
  <c r="O14" i="24"/>
  <c r="O9" i="24"/>
  <c r="I10" i="24"/>
  <c r="I11" i="24"/>
  <c r="I12" i="24"/>
  <c r="I13" i="24"/>
  <c r="I14" i="24"/>
  <c r="I9" i="24"/>
  <c r="K15" i="24"/>
  <c r="O15" i="24" l="1"/>
  <c r="E9" i="11" s="1"/>
  <c r="I9" i="11" s="1"/>
  <c r="M15" i="24"/>
  <c r="I15" i="24"/>
  <c r="G15" i="24"/>
  <c r="E15" i="24"/>
  <c r="I20" i="16" l="1"/>
  <c r="G61" i="3"/>
  <c r="E61" i="3"/>
  <c r="C13" i="18"/>
  <c r="E13" i="18"/>
  <c r="E10" i="11" s="1"/>
  <c r="I10" i="11" s="1"/>
  <c r="E15" i="19"/>
  <c r="G14" i="19" s="1"/>
  <c r="I15" i="19"/>
  <c r="K14" i="19" s="1"/>
  <c r="J18" i="10"/>
  <c r="P18" i="10"/>
  <c r="N18" i="10"/>
  <c r="L18" i="10"/>
  <c r="E53" i="15" l="1"/>
  <c r="G53" i="15" l="1"/>
  <c r="E8" i="11" l="1"/>
  <c r="I8" i="11" s="1"/>
  <c r="I11" i="11" l="1"/>
  <c r="K20" i="16" l="1"/>
  <c r="O20" i="16" l="1"/>
  <c r="K53" i="15"/>
  <c r="M53" i="15"/>
  <c r="M61" i="3"/>
  <c r="O53" i="15" l="1"/>
  <c r="G12" i="19"/>
  <c r="G13" i="19"/>
  <c r="K12" i="19"/>
  <c r="K13" i="19"/>
  <c r="C20" i="16" l="1"/>
  <c r="G11" i="19" l="1"/>
  <c r="K11" i="19" l="1"/>
  <c r="K9" i="19"/>
  <c r="K10" i="19"/>
  <c r="G10" i="11"/>
  <c r="G8" i="11"/>
  <c r="G9" i="11"/>
  <c r="G10" i="19"/>
  <c r="G9" i="19"/>
  <c r="K15" i="19" l="1"/>
  <c r="G15" i="19"/>
  <c r="G11" i="11"/>
</calcChain>
</file>

<file path=xl/sharedStrings.xml><?xml version="1.0" encoding="utf-8"?>
<sst xmlns="http://schemas.openxmlformats.org/spreadsheetml/2006/main" count="466" uniqueCount="204">
  <si>
    <t>صورت وضعیت پورتفوی</t>
  </si>
  <si>
    <t>‫جمع</t>
  </si>
  <si>
    <t>‫مبلغ فروش</t>
  </si>
  <si>
    <t>‫تعداد</t>
  </si>
  <si>
    <t>‫بهای تمام شده</t>
  </si>
  <si>
    <t>‫درصد به کل دارایی ها</t>
  </si>
  <si>
    <t>‫خالص ارزش فروش</t>
  </si>
  <si>
    <t>‫قیمت بازار هر سهم</t>
  </si>
  <si>
    <t>‫فروش طی دوره</t>
  </si>
  <si>
    <t>‫خرید طی دوره</t>
  </si>
  <si>
    <t>‫شرکت</t>
  </si>
  <si>
    <t>‫تغییرات طی دوره</t>
  </si>
  <si>
    <t>‫صورت وضعیت پورتفوی</t>
  </si>
  <si>
    <t>‫نام سهام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</si>
  <si>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</si>
  <si>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</si>
  <si>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</si>
  <si>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</si>
  <si>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</si>
  <si>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‫مبلغ</t>
  </si>
  <si>
    <t>‫افزایش</t>
  </si>
  <si>
    <t>‫کاهش</t>
  </si>
  <si>
    <t>‫کوتاه مدت</t>
  </si>
  <si>
    <t>‫سپرده بانکی نزد بانک تجارت</t>
  </si>
  <si>
    <t>‫جاري</t>
  </si>
  <si>
    <t>‫سپرده بانکی نزد بانک صادرات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</si>
  <si>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</si>
  <si>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</si>
  <si>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</si>
  <si>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</si>
  <si>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</si>
  <si>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</si>
  <si>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</si>
  <si>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</si>
  <si>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</si>
  <si>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</si>
  <si>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</si>
  <si>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‫هزینه تنزیل</t>
  </si>
  <si>
    <t>‫1401/06/05</t>
  </si>
  <si>
    <t>‫درآمد سود سهام</t>
  </si>
  <si>
    <t>‫اطلاعات مجمع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</si>
  <si>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</si>
  <si>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</si>
  <si>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</si>
  <si>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</si>
  <si>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‫خالص درآمد سود سهام</t>
  </si>
  <si>
    <t>‫1401/04/29</t>
  </si>
  <si>
    <t>‫سهام</t>
  </si>
  <si>
    <t>‫جمع مبلغ</t>
  </si>
  <si>
    <t>‫درصد از کل درآمد ها</t>
  </si>
  <si>
    <t>‫درآمد ناشی از تغییر قیمت اوراق بهادار</t>
  </si>
  <si>
    <t>‫ارزش دفتری</t>
  </si>
  <si>
    <t>‫سود و زیان ناشی از تغییر قیمت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</si>
  <si>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</si>
  <si>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‫سود(زیان) حاصل از فروش اوراق بهادار</t>
  </si>
  <si>
    <t>‫سود و زیان ناشی از فروش</t>
  </si>
  <si>
    <t>‫4-2- سایر درآمدها:</t>
  </si>
  <si>
    <t>‫کارمزد ابطال واحدهاي سرمايه گذاري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</si>
  <si>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</si>
  <si>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</si>
  <si>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</si>
  <si>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</si>
  <si>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</si>
  <si>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 xml:space="preserve"> بانک سامان</t>
  </si>
  <si>
    <t xml:space="preserve"> سرمایه گذاری صدرتامین</t>
  </si>
  <si>
    <t xml:space="preserve"> فولاد مبارکه اصفهان</t>
  </si>
  <si>
    <t xml:space="preserve"> پتروشیمی تندگویان</t>
  </si>
  <si>
    <t xml:space="preserve"> سیمان‌ صوفیان‌</t>
  </si>
  <si>
    <t xml:space="preserve"> سرمایه‌گذاری‌غدیر(هلدینگ‌</t>
  </si>
  <si>
    <t xml:space="preserve"> صنایع شیمیایی کیمیاگران امروز</t>
  </si>
  <si>
    <t xml:space="preserve"> پالایش نفت اصفهان</t>
  </si>
  <si>
    <t xml:space="preserve"> گسترش نفت و گاز پارسیان</t>
  </si>
  <si>
    <t xml:space="preserve"> صنعتی زر ماکارون</t>
  </si>
  <si>
    <t xml:space="preserve"> پلی پروپیلن جم </t>
  </si>
  <si>
    <t xml:space="preserve"> س. نفت و گاز و پتروشیمی تأمین</t>
  </si>
  <si>
    <t xml:space="preserve"> تامین سرمایه نوین</t>
  </si>
  <si>
    <t xml:space="preserve"> ملی‌ صنایع‌ مس‌ ایران‌</t>
  </si>
  <si>
    <t xml:space="preserve"> معدنی‌ املاح‌  ایران‌</t>
  </si>
  <si>
    <t xml:space="preserve"> نفت‌ بهران‌</t>
  </si>
  <si>
    <t xml:space="preserve"> کاشی‌ الوند</t>
  </si>
  <si>
    <t xml:space="preserve"> کویر تایر</t>
  </si>
  <si>
    <t xml:space="preserve"> سیمرغ</t>
  </si>
  <si>
    <t xml:space="preserve"> پخش رازی</t>
  </si>
  <si>
    <t xml:space="preserve"> سرمایه گذاری گروه توسعه ملی</t>
  </si>
  <si>
    <t xml:space="preserve"> فجر انرژی خلیج فارس</t>
  </si>
  <si>
    <t xml:space="preserve"> سرمایه‌گذاری‌ ملی‌ایران‌</t>
  </si>
  <si>
    <t xml:space="preserve"> پالایش نفت تبریز</t>
  </si>
  <si>
    <t xml:space="preserve"> بیمه البرز</t>
  </si>
  <si>
    <t xml:space="preserve"> توسعه‌معادن‌وفلزات‌</t>
  </si>
  <si>
    <t xml:space="preserve"> تامین سرمایه کیمیا</t>
  </si>
  <si>
    <t xml:space="preserve"> پتروشیمی پردیس</t>
  </si>
  <si>
    <t>‫صندوق سرمايه گذاري مشترک يکم  سامان</t>
  </si>
  <si>
    <t>‫سپرده بانکی نزد بانک سامان</t>
  </si>
  <si>
    <t>‫سپرده بانکی نزد بانک خاورمیانه</t>
  </si>
  <si>
    <t>‫279928784</t>
  </si>
  <si>
    <t>‫858-40-6000060-1</t>
  </si>
  <si>
    <t>‫829-810-6000060-1</t>
  </si>
  <si>
    <t>‫858-810-6000060-1</t>
  </si>
  <si>
    <t>‫858-819-6000060-1</t>
  </si>
  <si>
    <t>‫0217334601007</t>
  </si>
  <si>
    <t>1005-10-810-707074834</t>
  </si>
  <si>
    <t>849-810-6000060-1</t>
  </si>
  <si>
    <t>‫1400/03/13</t>
  </si>
  <si>
    <t>‫1390/03/18</t>
  </si>
  <si>
    <t>‫1400/02/28</t>
  </si>
  <si>
    <t>‫1390/03/08</t>
  </si>
  <si>
    <t>‫1395/05/27</t>
  </si>
  <si>
    <t>1401/07/21</t>
  </si>
  <si>
    <t>1401/09/16</t>
  </si>
  <si>
    <t>‫سپرده بانکی کوتاه مدت - سامان</t>
  </si>
  <si>
    <t>‫سپرده بانکی کوتاه مدت -  خاورمیانه</t>
  </si>
  <si>
    <t>طی دوره</t>
  </si>
  <si>
    <t>‫‫صندوق سرمايه گذاري مشترک يکم  سامان</t>
  </si>
  <si>
    <t>صندوق سرمايه گذاري مشترک يکم  سامان</t>
  </si>
  <si>
    <t>تعديل كارمزد كارگزاري بانک تجارت</t>
  </si>
  <si>
    <t>تعديل كارمزد كارگزاري بانک سامان</t>
  </si>
  <si>
    <t>‫درآمد سود سهم</t>
  </si>
  <si>
    <t>‫درآمد تغییر ارزش</t>
  </si>
  <si>
    <t>‫درآمد فروش</t>
  </si>
  <si>
    <t>تعديل كارمزدکارگزاری توسعه معاملات کیان</t>
  </si>
  <si>
    <t>849-40-6000060-1</t>
  </si>
  <si>
    <t>1402/01/21</t>
  </si>
  <si>
    <t>1402/02/31</t>
  </si>
  <si>
    <t xml:space="preserve"> سرمایه‌ گذاری‌ آتیه‌ دماوند</t>
  </si>
  <si>
    <t xml:space="preserve"> ص. معدنی کیمیای زنجان گستران</t>
  </si>
  <si>
    <t xml:space="preserve"> شیمی‌ داروئی‌ داروپخش‌</t>
  </si>
  <si>
    <t xml:space="preserve"> تولیدات پتروشیمی قائد بصیر</t>
  </si>
  <si>
    <t xml:space="preserve"> بهمن  دیزل</t>
  </si>
  <si>
    <t xml:space="preserve"> پمپ‌ سازی‌ ایران‌</t>
  </si>
  <si>
    <t xml:space="preserve"> سایپا</t>
  </si>
  <si>
    <t xml:space="preserve"> سرمایه گذاری تامین اجتماعی</t>
  </si>
  <si>
    <t xml:space="preserve"> سرمایه گذاری صبا تامین</t>
  </si>
  <si>
    <t xml:space="preserve"> کارخانجات‌تولیدی‌شیشه‌رازی‌</t>
  </si>
  <si>
    <t xml:space="preserve"> کشاورزی و دامپروری فجر اصفهان</t>
  </si>
  <si>
    <t xml:space="preserve"> گروه انتخاب الکترونیک آرمان</t>
  </si>
  <si>
    <t>‫صورت وضعیت درآمدها</t>
  </si>
  <si>
    <t>‫2-1- سرمایه گذاری در  سپرده بانکی</t>
  </si>
  <si>
    <t>‫2-1- درآمد حاصل از سرمایه گذاری در سهام و حق تقدم سهام:</t>
  </si>
  <si>
    <t>‫سود اوراق بهادار با درآمد ثابت و سپرده بانکی</t>
  </si>
  <si>
    <t>‫طی دوره</t>
  </si>
  <si>
    <t>‫تاریخ دریافت سود</t>
  </si>
  <si>
    <t>‫درآمد سود</t>
  </si>
  <si>
    <t>‫خالص درآمد</t>
  </si>
  <si>
    <t>‫كوتاه مدت-1-6000060-810-829-سامان</t>
  </si>
  <si>
    <t>‫كوتاه مدت-1-6000060-810-858-سامان</t>
  </si>
  <si>
    <t>‫كوتاه مدت-1-6000060-819-858-سامان</t>
  </si>
  <si>
    <t>‫کوتاه مدت - 1005-10-810-707074834-خاورمیانه</t>
  </si>
  <si>
    <t>1402/10/16</t>
  </si>
  <si>
    <t>‫1402/02/22</t>
  </si>
  <si>
    <t>‫1402/02/26</t>
  </si>
  <si>
    <t>‫1402/02/01</t>
  </si>
  <si>
    <t>‫1402/02/05</t>
  </si>
  <si>
    <t>1402/02/30</t>
  </si>
  <si>
    <t>‫كوتاه مدت-1-6000060-810-849-سامان</t>
  </si>
  <si>
    <t xml:space="preserve"> ‫جمع</t>
  </si>
  <si>
    <t xml:space="preserve"> پویا زرکان آق دره</t>
  </si>
  <si>
    <t xml:space="preserve"> سرمایه گذاری دارویی تامین</t>
  </si>
  <si>
    <t xml:space="preserve"> داروسازی‌ اکسیر</t>
  </si>
  <si>
    <t>برای ماه منتهی به 1402/04/31</t>
  </si>
  <si>
    <t>‫برای ماه منتهی به 1402/04/31</t>
  </si>
  <si>
    <t>بانک خاورمیانه</t>
  </si>
  <si>
    <t>بين المللي توسعه ص. معادن غدير</t>
  </si>
  <si>
    <t>پتروشيمي پرديس</t>
  </si>
  <si>
    <t>پتروشيمي شازند</t>
  </si>
  <si>
    <t>پتروشيمي نوري</t>
  </si>
  <si>
    <t>تايدواترخاورميانه</t>
  </si>
  <si>
    <t>توسعه حمل و نقل ريلي پارسيان</t>
  </si>
  <si>
    <t>سرمايه گذاري گروه توسعه ملي</t>
  </si>
  <si>
    <t>سيمان‌ صوفيان‌</t>
  </si>
  <si>
    <t>سيمان فارس و خوزستان</t>
  </si>
  <si>
    <t>سيمرغ</t>
  </si>
  <si>
    <t>شيمي‌ داروئي‌ داروپخش‌</t>
  </si>
  <si>
    <t>فولاد مباركه اصفهان</t>
  </si>
  <si>
    <t>قندهكمتان‌</t>
  </si>
  <si>
    <t xml:space="preserve"> قندهکمتان‌</t>
  </si>
  <si>
    <t xml:space="preserve"> توسعه حمل و نقل ریلی پارسیان</t>
  </si>
  <si>
    <t xml:space="preserve"> سیمان فارس و خوزستان</t>
  </si>
  <si>
    <t xml:space="preserve"> پتروشیمی شازند</t>
  </si>
  <si>
    <t xml:space="preserve"> تایدواترخاورمیانه</t>
  </si>
  <si>
    <t xml:space="preserve"> پتروشیمی نوری</t>
  </si>
  <si>
    <t xml:space="preserve">گسترش نفت و گاز پارسیان </t>
  </si>
  <si>
    <t xml:space="preserve">تامین سرمایه کیمیا </t>
  </si>
  <si>
    <t xml:space="preserve">پخش رازی </t>
  </si>
  <si>
    <t xml:space="preserve">کشاورزی و دامپروری فجر اصفهان </t>
  </si>
  <si>
    <t xml:space="preserve">پالایش نفت اصفهان </t>
  </si>
  <si>
    <t xml:space="preserve">پتروشیمی تندگویان </t>
  </si>
  <si>
    <t xml:space="preserve">توسعه صنایع و معادن کوثر </t>
  </si>
  <si>
    <t xml:space="preserve">کارخانجات‌تولیدی‌شیشه‌رازی‌ </t>
  </si>
  <si>
    <t xml:space="preserve">کاشی‌ الوند </t>
  </si>
  <si>
    <t xml:space="preserve">تولیدی مخازن گازطبیعی آسیاناما </t>
  </si>
  <si>
    <t xml:space="preserve">سرمایه‌گذاری‌غدیر(هلدینگ‌ </t>
  </si>
  <si>
    <t xml:space="preserve">تاصیکوح - ح . سرمایه گذاری صدرتامین	</t>
  </si>
  <si>
    <t xml:space="preserve">صباح - ح . سرمایه گذاری صبا تامین	</t>
  </si>
  <si>
    <t>سیمان‌ صوفیان‌</t>
  </si>
  <si>
    <t>‫سپرده بانکی کوتاه مدت - صادرات</t>
  </si>
  <si>
    <t>1402/04/25</t>
  </si>
  <si>
    <t>1402/04/21</t>
  </si>
  <si>
    <t>1402/04/12</t>
  </si>
  <si>
    <t>1402/04/20</t>
  </si>
  <si>
    <t>1402/04/24</t>
  </si>
  <si>
    <t>1402/04/17</t>
  </si>
  <si>
    <t>‫سپرده بانکی کوتاه مدت - صادرات 0217334601007</t>
  </si>
  <si>
    <t>1402/04/31</t>
  </si>
  <si>
    <t>1402/004/31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</si>
</sst>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* #,##0.00_);_(* \(#,##0.00\);_(* &quot;-&quot;??_);_(@_)"/>
    <numFmt numFmtId="166" formatCode="#,##0_);[Red]\(\ #,##0\)"/>
    <numFmt numFmtId="167" formatCode="_(* #,##0_);_(* \(#,##0\);_(* &quot;-&quot;??_);_(@_)"/>
    <numFmt numFmtId="168" formatCode="0.0%"/>
    <numFmt numFmtId="169" formatCode="#,##0\ ;\(#,##0\);\-\ ;"/>
    <numFmt numFmtId="170" formatCode="#,##0.00_ ;[Red]\-#,##0.00\ 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name val="Calibri"/>
      <family val="2"/>
    </font>
    <font>
      <sz val="11"/>
      <color indexed="8"/>
      <name val="Arial"/>
      <family val="2"/>
      <scheme val="minor"/>
    </font>
    <font>
      <sz val="11"/>
      <color indexed="8"/>
      <name val="B Nazanin"/>
      <charset val="178"/>
    </font>
    <font>
      <sz val="12"/>
      <name val="B Nazanin"/>
      <charset val="178"/>
    </font>
    <font>
      <sz val="14"/>
      <color rgb="FF000000"/>
      <name val="B Nazanin"/>
      <charset val="178"/>
    </font>
    <font>
      <b/>
      <sz val="12"/>
      <name val="B Nazanin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2"/>
      <color rgb="FF212529"/>
      <name val="Tahoma"/>
      <family val="2"/>
    </font>
    <font>
      <sz val="11"/>
      <name val="B Nazanin"/>
      <charset val="178"/>
    </font>
    <font>
      <b/>
      <sz val="18"/>
      <name val="B Nazanin"/>
      <charset val="178"/>
    </font>
    <font>
      <b/>
      <sz val="16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8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8" fillId="0" borderId="0"/>
  </cellStyleXfs>
  <cellXfs count="98">
    <xf numFmtId="0" fontId="0" fillId="0" borderId="0" xfId="0"/>
    <xf numFmtId="0" fontId="4" fillId="0" borderId="0" xfId="2" applyFont="1"/>
    <xf numFmtId="3" fontId="4" fillId="0" borderId="0" xfId="2" applyNumberFormat="1" applyFont="1"/>
    <xf numFmtId="37" fontId="5" fillId="0" borderId="1" xfId="2" applyNumberFormat="1" applyFont="1" applyBorder="1" applyAlignment="1">
      <alignment horizontal="center" vertical="center"/>
    </xf>
    <xf numFmtId="10" fontId="5" fillId="0" borderId="2" xfId="2" applyNumberFormat="1" applyFont="1" applyBorder="1" applyAlignment="1">
      <alignment horizontal="center" vertical="center"/>
    </xf>
    <xf numFmtId="166" fontId="6" fillId="0" borderId="3" xfId="2" applyNumberFormat="1" applyFont="1" applyBorder="1" applyAlignment="1">
      <alignment horizontal="center" vertical="center"/>
    </xf>
    <xf numFmtId="37" fontId="5" fillId="0" borderId="2" xfId="2" applyNumberFormat="1" applyFont="1" applyBorder="1" applyAlignment="1">
      <alignment horizontal="center" vertical="center"/>
    </xf>
    <xf numFmtId="10" fontId="5" fillId="0" borderId="0" xfId="2" applyNumberFormat="1" applyFont="1" applyAlignment="1">
      <alignment horizontal="center" vertical="center"/>
    </xf>
    <xf numFmtId="166" fontId="6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37" fontId="5" fillId="0" borderId="0" xfId="2" applyNumberFormat="1" applyFont="1" applyAlignment="1">
      <alignment horizontal="right" vertical="center" wrapText="1"/>
    </xf>
    <xf numFmtId="37" fontId="5" fillId="0" borderId="4" xfId="2" applyNumberFormat="1" applyFont="1" applyBorder="1" applyAlignment="1">
      <alignment horizontal="center" vertical="center"/>
    </xf>
    <xf numFmtId="0" fontId="4" fillId="0" borderId="0" xfId="0" applyFont="1"/>
    <xf numFmtId="3" fontId="4" fillId="0" borderId="0" xfId="0" applyNumberFormat="1" applyFont="1"/>
    <xf numFmtId="37" fontId="7" fillId="0" borderId="4" xfId="2" applyNumberFormat="1" applyFont="1" applyBorder="1" applyAlignment="1">
      <alignment horizontal="center" vertical="center"/>
    </xf>
    <xf numFmtId="37" fontId="7" fillId="0" borderId="4" xfId="2" applyNumberFormat="1" applyFont="1" applyBorder="1" applyAlignment="1">
      <alignment horizontal="center" vertical="center" wrapText="1"/>
    </xf>
    <xf numFmtId="37" fontId="5" fillId="0" borderId="0" xfId="2" applyNumberFormat="1" applyFont="1" applyAlignment="1">
      <alignment horizontal="center" vertical="center" wrapText="1"/>
    </xf>
    <xf numFmtId="37" fontId="4" fillId="0" borderId="0" xfId="2" applyNumberFormat="1" applyFont="1"/>
    <xf numFmtId="37" fontId="7" fillId="0" borderId="0" xfId="2" applyNumberFormat="1" applyFont="1" applyAlignment="1">
      <alignment horizontal="right" vertical="center"/>
    </xf>
    <xf numFmtId="37" fontId="7" fillId="0" borderId="0" xfId="2" applyNumberFormat="1" applyFont="1" applyAlignment="1">
      <alignment horizontal="center" vertical="center"/>
    </xf>
    <xf numFmtId="164" fontId="7" fillId="0" borderId="4" xfId="2" applyNumberFormat="1" applyFont="1" applyBorder="1" applyAlignment="1">
      <alignment horizontal="center" vertical="center" wrapText="1"/>
    </xf>
    <xf numFmtId="167" fontId="4" fillId="0" borderId="0" xfId="5" applyNumberFormat="1" applyFont="1"/>
    <xf numFmtId="9" fontId="5" fillId="0" borderId="2" xfId="2" applyNumberFormat="1" applyFont="1" applyBorder="1" applyAlignment="1">
      <alignment horizontal="center" vertical="center"/>
    </xf>
    <xf numFmtId="9" fontId="4" fillId="0" borderId="0" xfId="2" applyNumberFormat="1" applyFont="1" applyAlignment="1">
      <alignment horizontal="center" vertical="center"/>
    </xf>
    <xf numFmtId="37" fontId="7" fillId="0" borderId="4" xfId="0" applyNumberFormat="1" applyFont="1" applyBorder="1" applyAlignment="1">
      <alignment horizontal="center" vertical="center"/>
    </xf>
    <xf numFmtId="167" fontId="4" fillId="0" borderId="0" xfId="6" applyNumberFormat="1" applyFont="1"/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166" fontId="4" fillId="0" borderId="0" xfId="2" applyNumberFormat="1" applyFont="1"/>
    <xf numFmtId="9" fontId="5" fillId="0" borderId="0" xfId="2" applyNumberFormat="1" applyFont="1" applyAlignment="1">
      <alignment horizontal="center" vertical="center"/>
    </xf>
    <xf numFmtId="168" fontId="4" fillId="0" borderId="0" xfId="2" applyNumberFormat="1" applyFont="1" applyAlignment="1">
      <alignment horizontal="center" vertical="center"/>
    </xf>
    <xf numFmtId="10" fontId="4" fillId="0" borderId="0" xfId="2" applyNumberFormat="1" applyFont="1" applyAlignment="1">
      <alignment horizontal="center" vertical="center"/>
    </xf>
    <xf numFmtId="0" fontId="11" fillId="0" borderId="0" xfId="2" applyFont="1"/>
    <xf numFmtId="37" fontId="7" fillId="0" borderId="0" xfId="0" applyNumberFormat="1" applyFont="1" applyAlignment="1">
      <alignment horizontal="center" vertical="center"/>
    </xf>
    <xf numFmtId="37" fontId="7" fillId="0" borderId="4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169" fontId="5" fillId="0" borderId="0" xfId="0" applyNumberFormat="1" applyFont="1" applyAlignment="1">
      <alignment horizontal="right" vertical="center"/>
    </xf>
    <xf numFmtId="37" fontId="5" fillId="0" borderId="2" xfId="0" applyNumberFormat="1" applyFont="1" applyBorder="1" applyAlignment="1">
      <alignment horizontal="center" vertical="center"/>
    </xf>
    <xf numFmtId="169" fontId="5" fillId="0" borderId="3" xfId="0" applyNumberFormat="1" applyFont="1" applyBorder="1" applyAlignment="1">
      <alignment horizontal="right" vertical="center"/>
    </xf>
    <xf numFmtId="0" fontId="11" fillId="0" borderId="0" xfId="0" applyFont="1"/>
    <xf numFmtId="0" fontId="5" fillId="0" borderId="0" xfId="0" applyFont="1" applyAlignment="1">
      <alignment horizontal="right" vertical="center" wrapText="1"/>
    </xf>
    <xf numFmtId="169" fontId="5" fillId="0" borderId="0" xfId="0" applyNumberFormat="1" applyFont="1" applyAlignment="1">
      <alignment horizontal="center" vertical="center"/>
    </xf>
    <xf numFmtId="169" fontId="5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2" applyFont="1" applyAlignment="1">
      <alignment horizontal="center"/>
    </xf>
    <xf numFmtId="37" fontId="7" fillId="0" borderId="4" xfId="2" applyNumberFormat="1" applyFont="1" applyBorder="1" applyAlignment="1">
      <alignment horizontal="center"/>
    </xf>
    <xf numFmtId="37" fontId="5" fillId="0" borderId="0" xfId="2" applyNumberFormat="1" applyFont="1" applyAlignment="1">
      <alignment horizontal="center" wrapText="1"/>
    </xf>
    <xf numFmtId="37" fontId="5" fillId="0" borderId="2" xfId="2" applyNumberFormat="1" applyFont="1" applyBorder="1" applyAlignment="1">
      <alignment horizontal="center"/>
    </xf>
    <xf numFmtId="167" fontId="4" fillId="0" borderId="0" xfId="2" applyNumberFormat="1" applyFont="1"/>
    <xf numFmtId="3" fontId="10" fillId="2" borderId="0" xfId="0" applyNumberFormat="1" applyFont="1" applyFill="1"/>
    <xf numFmtId="0" fontId="2" fillId="0" borderId="0" xfId="1"/>
    <xf numFmtId="0" fontId="1" fillId="0" borderId="0" xfId="3" applyFont="1"/>
    <xf numFmtId="0" fontId="4" fillId="3" borderId="0" xfId="2" applyFont="1" applyFill="1"/>
    <xf numFmtId="3" fontId="4" fillId="3" borderId="0" xfId="2" applyNumberFormat="1" applyFont="1" applyFill="1"/>
    <xf numFmtId="0" fontId="1" fillId="3" borderId="0" xfId="3" applyFont="1" applyFill="1"/>
    <xf numFmtId="166" fontId="4" fillId="0" borderId="0" xfId="0" applyNumberFormat="1" applyFont="1"/>
    <xf numFmtId="0" fontId="5" fillId="0" borderId="0" xfId="2" applyFont="1" applyAlignment="1">
      <alignment horizontal="center" vertical="center"/>
    </xf>
    <xf numFmtId="0" fontId="4" fillId="0" borderId="0" xfId="2" applyFont="1"/>
    <xf numFmtId="0" fontId="4" fillId="3" borderId="0" xfId="2" applyFont="1" applyFill="1"/>
    <xf numFmtId="37" fontId="7" fillId="0" borderId="0" xfId="2" applyNumberFormat="1" applyFont="1" applyAlignment="1">
      <alignment horizontal="right" vertical="center"/>
    </xf>
    <xf numFmtId="0" fontId="4" fillId="0" borderId="0" xfId="2" applyFont="1"/>
    <xf numFmtId="0" fontId="5" fillId="0" borderId="0" xfId="2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40" fontId="5" fillId="0" borderId="0" xfId="0" applyNumberFormat="1" applyFont="1" applyAlignment="1">
      <alignment horizontal="right" vertical="center" readingOrder="2"/>
    </xf>
    <xf numFmtId="166" fontId="6" fillId="0" borderId="0" xfId="2" applyNumberFormat="1" applyFont="1" applyBorder="1" applyAlignment="1">
      <alignment horizontal="center" vertical="center"/>
    </xf>
    <xf numFmtId="0" fontId="4" fillId="0" borderId="0" xfId="2" applyFont="1" applyBorder="1"/>
    <xf numFmtId="170" fontId="4" fillId="0" borderId="0" xfId="2" applyNumberFormat="1" applyFont="1"/>
    <xf numFmtId="3" fontId="5" fillId="0" borderId="0" xfId="0" applyNumberFormat="1" applyFont="1" applyAlignment="1">
      <alignment horizontal="right" vertical="center" readingOrder="2"/>
    </xf>
    <xf numFmtId="166" fontId="5" fillId="0" borderId="0" xfId="0" applyNumberFormat="1" applyFont="1" applyAlignment="1">
      <alignment horizontal="right" vertical="center" readingOrder="2"/>
    </xf>
    <xf numFmtId="0" fontId="4" fillId="0" borderId="0" xfId="2" applyFont="1" applyAlignment="1">
      <alignment horizontal="right"/>
    </xf>
    <xf numFmtId="37" fontId="5" fillId="0" borderId="2" xfId="2" applyNumberFormat="1" applyFont="1" applyBorder="1" applyAlignment="1">
      <alignment horizontal="right" vertical="center"/>
    </xf>
    <xf numFmtId="0" fontId="12" fillId="0" borderId="0" xfId="1" applyFont="1" applyAlignment="1">
      <alignment horizontal="center"/>
    </xf>
    <xf numFmtId="37" fontId="13" fillId="3" borderId="0" xfId="2" applyNumberFormat="1" applyFont="1" applyFill="1" applyAlignment="1">
      <alignment horizontal="center" vertical="center"/>
    </xf>
    <xf numFmtId="0" fontId="4" fillId="3" borderId="0" xfId="2" applyFont="1" applyFill="1"/>
    <xf numFmtId="37" fontId="13" fillId="0" borderId="0" xfId="2" applyNumberFormat="1" applyFont="1" applyAlignment="1">
      <alignment horizontal="center" vertical="center"/>
    </xf>
    <xf numFmtId="0" fontId="4" fillId="0" borderId="0" xfId="2" applyFont="1"/>
    <xf numFmtId="37" fontId="7" fillId="0" borderId="4" xfId="2" applyNumberFormat="1" applyFont="1" applyBorder="1" applyAlignment="1">
      <alignment horizontal="center" vertical="center"/>
    </xf>
    <xf numFmtId="0" fontId="4" fillId="0" borderId="5" xfId="2" applyFont="1" applyBorder="1"/>
    <xf numFmtId="0" fontId="5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37" fontId="5" fillId="0" borderId="9" xfId="2" applyNumberFormat="1" applyFont="1" applyBorder="1" applyAlignment="1">
      <alignment horizontal="center" vertical="center" wrapText="1"/>
    </xf>
    <xf numFmtId="37" fontId="5" fillId="0" borderId="4" xfId="2" applyNumberFormat="1" applyFont="1" applyBorder="1" applyAlignment="1">
      <alignment horizontal="center" vertical="center" wrapText="1"/>
    </xf>
    <xf numFmtId="37" fontId="7" fillId="0" borderId="0" xfId="2" applyNumberFormat="1" applyFont="1" applyAlignment="1">
      <alignment horizontal="right" vertical="center"/>
    </xf>
    <xf numFmtId="37" fontId="5" fillId="0" borderId="6" xfId="2" applyNumberFormat="1" applyFont="1" applyBorder="1" applyAlignment="1">
      <alignment horizontal="center" vertical="center"/>
    </xf>
    <xf numFmtId="0" fontId="4" fillId="0" borderId="7" xfId="2" applyFont="1" applyBorder="1"/>
    <xf numFmtId="0" fontId="4" fillId="0" borderId="8" xfId="2" applyFont="1" applyBorder="1"/>
    <xf numFmtId="37" fontId="13" fillId="0" borderId="0" xfId="0" applyNumberFormat="1" applyFont="1" applyAlignment="1">
      <alignment horizontal="center" vertical="center"/>
    </xf>
    <xf numFmtId="0" fontId="4" fillId="0" borderId="0" xfId="0" applyFont="1"/>
    <xf numFmtId="37" fontId="7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37" fontId="7" fillId="0" borderId="0" xfId="0" applyNumberFormat="1" applyFont="1" applyAlignment="1">
      <alignment horizontal="right" vertical="center"/>
    </xf>
    <xf numFmtId="37" fontId="13" fillId="3" borderId="0" xfId="0" applyNumberFormat="1" applyFont="1" applyFill="1" applyAlignment="1">
      <alignment horizontal="center" vertical="center"/>
    </xf>
    <xf numFmtId="0" fontId="4" fillId="3" borderId="0" xfId="0" applyFont="1" applyFill="1"/>
  </cellXfs>
  <cellStyles count="8">
    <cellStyle name="Comma" xfId="6" builtinId="3"/>
    <cellStyle name="Comma 2" xfId="5" xr:uid="{36468E60-760B-4D4B-B59D-D5493FC1D9DF}"/>
    <cellStyle name="Normal" xfId="0" builtinId="0"/>
    <cellStyle name="Normal 2" xfId="2" xr:uid="{079B1011-98EC-4521-BD75-B1E8B2732FA4}"/>
    <cellStyle name="Normal 2 2" xfId="1" xr:uid="{33086C72-BAFF-4F66-B00D-A9DB50AD126E}"/>
    <cellStyle name="Normal 2 3" xfId="7" xr:uid="{67E2F0EE-DB32-4E91-BC81-DFB750A458EB}"/>
    <cellStyle name="Normal 3" xfId="3" xr:uid="{2BEF6392-0C25-4338-B08C-D0CED5CCDBB1}"/>
    <cellStyle name="Percent 2" xfId="4" xr:uid="{FC8913FD-E2D2-4CE6-9B35-DDDD35E5ECF3}"/>
  </cellStyles>
  <dxfs count="2"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  <color rgb="FFFB5FB8"/>
      <color rgb="FFEB33F9"/>
      <color rgb="FF6666FF"/>
      <color rgb="FF9900FF"/>
      <color rgb="FFFFD966"/>
      <color rgb="FFFF9933"/>
      <color rgb="FFC65911"/>
      <color rgb="FF37CBFF"/>
      <color rgb="FFFF05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535978</xdr:colOff>
      <xdr:row>15</xdr:row>
      <xdr:rowOff>173181</xdr:rowOff>
    </xdr:from>
    <xdr:to>
      <xdr:col>5</xdr:col>
      <xdr:colOff>362287</xdr:colOff>
      <xdr:row>24</xdr:row>
      <xdr:rowOff>114676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3B728579-17C6-4B43-8F84-7C999CBDE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276113" y="3602181"/>
          <a:ext cx="1655109" cy="1655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2F700-EBB8-4D2D-A65F-4E2DEA9CD4A6}">
  <dimension ref="A11:I13"/>
  <sheetViews>
    <sheetView rightToLeft="1" view="pageBreakPreview" topLeftCell="A4" zoomScale="110" zoomScaleNormal="100" zoomScaleSheetLayoutView="110" workbookViewId="0">
      <selection activeCell="A13" sqref="A13:I13"/>
    </sheetView>
  </sheetViews>
  <sheetFormatPr defaultColWidth="9.125" defaultRowHeight="15" x14ac:dyDescent="0.25"/>
  <cols>
    <col min="1" max="16384" width="9.125" style="52"/>
  </cols>
  <sheetData>
    <row r="11" spans="1:9" ht="30" x14ac:dyDescent="0.75">
      <c r="A11" s="73" t="s">
        <v>113</v>
      </c>
      <c r="B11" s="73"/>
      <c r="C11" s="73"/>
      <c r="D11" s="73"/>
      <c r="E11" s="73"/>
      <c r="F11" s="73"/>
      <c r="G11" s="73"/>
      <c r="H11" s="73"/>
      <c r="I11" s="73"/>
    </row>
    <row r="12" spans="1:9" ht="30" x14ac:dyDescent="0.75">
      <c r="A12" s="73" t="s">
        <v>0</v>
      </c>
      <c r="B12" s="73"/>
      <c r="C12" s="73"/>
      <c r="D12" s="73"/>
      <c r="E12" s="73"/>
      <c r="F12" s="73"/>
      <c r="G12" s="73"/>
      <c r="H12" s="73"/>
      <c r="I12" s="73"/>
    </row>
    <row r="13" spans="1:9" ht="30" x14ac:dyDescent="0.75">
      <c r="A13" s="73" t="s">
        <v>158</v>
      </c>
      <c r="B13" s="73"/>
      <c r="C13" s="73"/>
      <c r="D13" s="73"/>
      <c r="E13" s="73"/>
      <c r="F13" s="73"/>
      <c r="G13" s="73"/>
      <c r="H13" s="73"/>
      <c r="I13" s="73"/>
    </row>
  </sheetData>
  <mergeCells count="3">
    <mergeCell ref="A11:I11"/>
    <mergeCell ref="A12:I12"/>
    <mergeCell ref="A13:I1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3388-C627-4A9A-9C69-0532F8E1080B}">
  <dimension ref="A1:W25"/>
  <sheetViews>
    <sheetView rightToLeft="1" view="pageBreakPreview" zoomScale="115" zoomScaleNormal="160" zoomScaleSheetLayoutView="115" workbookViewId="0">
      <selection activeCell="K8" sqref="K8"/>
    </sheetView>
  </sheetViews>
  <sheetFormatPr defaultColWidth="9.125" defaultRowHeight="18" x14ac:dyDescent="0.45"/>
  <cols>
    <col min="1" max="1" width="41" style="12" bestFit="1" customWidth="1"/>
    <col min="2" max="2" width="1.375" style="12" customWidth="1"/>
    <col min="3" max="3" width="11.375" style="12" customWidth="1"/>
    <col min="4" max="4" width="1.375" style="12" customWidth="1"/>
    <col min="5" max="5" width="18.375" style="26" customWidth="1"/>
    <col min="6" max="6" width="1.375" style="26" customWidth="1"/>
    <col min="7" max="7" width="14.125" style="26" customWidth="1"/>
    <col min="8" max="8" width="1.375" style="26" customWidth="1"/>
    <col min="9" max="9" width="18.375" style="26" customWidth="1"/>
    <col min="10" max="10" width="1.375" style="26" customWidth="1"/>
    <col min="11" max="11" width="12.5" style="26" bestFit="1" customWidth="1"/>
    <col min="12" max="12" width="1.375" style="12" customWidth="1"/>
    <col min="13" max="13" width="14.125" style="12" customWidth="1"/>
    <col min="14" max="14" width="1.375" style="12" customWidth="1"/>
    <col min="15" max="15" width="12.5" style="12" bestFit="1" customWidth="1"/>
    <col min="16" max="16" width="0.625" style="53" customWidth="1"/>
    <col min="17" max="17" width="11.375" style="53" bestFit="1" customWidth="1"/>
    <col min="18" max="18" width="0.75" style="53" customWidth="1"/>
    <col min="19" max="19" width="9.125" style="53"/>
    <col min="20" max="20" width="12.75" style="53" bestFit="1" customWidth="1"/>
    <col min="21" max="22" width="13.875" style="53" bestFit="1" customWidth="1"/>
    <col min="23" max="16384" width="9.125" style="53"/>
  </cols>
  <sheetData>
    <row r="1" spans="1:23" s="56" customFormat="1" ht="26.25" x14ac:dyDescent="0.45">
      <c r="A1" s="96" t="s">
        <v>91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54"/>
      <c r="Q1" s="54"/>
      <c r="R1" s="54"/>
      <c r="S1" s="54"/>
      <c r="T1" s="54"/>
      <c r="U1" s="54"/>
      <c r="V1" s="54"/>
      <c r="W1" s="54"/>
    </row>
    <row r="2" spans="1:23" ht="26.25" x14ac:dyDescent="0.45">
      <c r="A2" s="90" t="s">
        <v>135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1"/>
      <c r="Q2" s="1"/>
      <c r="R2" s="1"/>
      <c r="S2" s="1"/>
      <c r="T2" s="1"/>
      <c r="U2" s="1"/>
      <c r="V2" s="1"/>
      <c r="W2" s="1"/>
    </row>
    <row r="3" spans="1:23" ht="26.25" x14ac:dyDescent="0.45">
      <c r="A3" s="90" t="s">
        <v>159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1"/>
      <c r="Q3" s="1"/>
      <c r="R3" s="1"/>
      <c r="S3" s="1"/>
      <c r="T3" s="1"/>
      <c r="U3" s="1"/>
      <c r="V3" s="1"/>
      <c r="W3" s="1"/>
    </row>
    <row r="4" spans="1:23" s="1" customFormat="1" x14ac:dyDescent="0.45">
      <c r="A4" s="12"/>
      <c r="B4" s="12"/>
      <c r="C4" s="12"/>
      <c r="D4" s="12"/>
      <c r="E4" s="26"/>
      <c r="F4" s="26"/>
      <c r="G4" s="26"/>
      <c r="H4" s="26"/>
      <c r="I4" s="26"/>
      <c r="J4" s="26"/>
      <c r="K4" s="26"/>
      <c r="L4" s="12"/>
      <c r="M4" s="12"/>
      <c r="N4" s="12"/>
      <c r="O4" s="12"/>
    </row>
    <row r="5" spans="1:23" s="12" customFormat="1" ht="21" x14ac:dyDescent="0.45">
      <c r="A5" s="95" t="s">
        <v>138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1"/>
      <c r="Q5" s="1"/>
      <c r="R5" s="1"/>
      <c r="S5" s="1"/>
      <c r="T5" s="1"/>
      <c r="U5" s="1"/>
      <c r="V5" s="1"/>
      <c r="W5" s="1"/>
    </row>
    <row r="6" spans="1:23" s="1" customFormat="1" x14ac:dyDescent="0.45">
      <c r="A6" s="12"/>
      <c r="B6" s="12"/>
      <c r="C6" s="12"/>
      <c r="D6" s="12"/>
      <c r="E6" s="26"/>
      <c r="F6" s="26"/>
      <c r="G6" s="26"/>
      <c r="H6" s="26"/>
      <c r="I6" s="26"/>
      <c r="J6" s="26"/>
      <c r="K6" s="26"/>
      <c r="L6" s="12"/>
      <c r="M6" s="12"/>
      <c r="N6" s="12"/>
      <c r="O6" s="12"/>
    </row>
    <row r="7" spans="1:23" ht="16.5" customHeight="1" x14ac:dyDescent="0.45">
      <c r="E7" s="92" t="s">
        <v>139</v>
      </c>
      <c r="F7" s="93"/>
      <c r="G7" s="93"/>
      <c r="H7" s="93"/>
      <c r="I7" s="93"/>
      <c r="K7" s="92" t="s">
        <v>202</v>
      </c>
      <c r="L7" s="94"/>
      <c r="M7" s="94"/>
      <c r="N7" s="94"/>
      <c r="O7" s="94"/>
      <c r="P7" s="1"/>
      <c r="Q7" s="1"/>
      <c r="R7" s="1"/>
      <c r="S7" s="1"/>
      <c r="T7" s="1"/>
      <c r="U7" s="1"/>
      <c r="V7" s="1"/>
      <c r="W7" s="1"/>
    </row>
    <row r="8" spans="1:23" ht="38.25" customHeight="1" x14ac:dyDescent="0.45">
      <c r="A8" s="34" t="s">
        <v>27</v>
      </c>
      <c r="C8" s="35" t="s">
        <v>140</v>
      </c>
      <c r="E8" s="35" t="s">
        <v>141</v>
      </c>
      <c r="G8" s="35" t="s">
        <v>37</v>
      </c>
      <c r="I8" s="35" t="s">
        <v>142</v>
      </c>
      <c r="K8" s="35" t="s">
        <v>141</v>
      </c>
      <c r="M8" s="35" t="s">
        <v>37</v>
      </c>
      <c r="O8" s="35" t="s">
        <v>142</v>
      </c>
      <c r="P8" s="1"/>
      <c r="Q8" s="1"/>
      <c r="R8" s="1"/>
      <c r="S8" s="1"/>
      <c r="T8" s="1"/>
      <c r="U8" s="1"/>
      <c r="V8" s="1"/>
      <c r="W8" s="1"/>
    </row>
    <row r="9" spans="1:23" ht="18.75" x14ac:dyDescent="0.45">
      <c r="A9" s="42" t="s">
        <v>144</v>
      </c>
      <c r="C9" s="37" t="s">
        <v>148</v>
      </c>
      <c r="E9" s="9">
        <v>3560</v>
      </c>
      <c r="G9" s="43">
        <v>0</v>
      </c>
      <c r="H9" s="43"/>
      <c r="I9" s="43">
        <f>E9-G9</f>
        <v>3560</v>
      </c>
      <c r="J9" s="43"/>
      <c r="K9" s="43">
        <v>3560</v>
      </c>
      <c r="L9" s="38"/>
      <c r="M9" s="38">
        <v>0</v>
      </c>
      <c r="N9" s="38"/>
      <c r="O9" s="38">
        <f>K9-M9</f>
        <v>3560</v>
      </c>
      <c r="P9" s="1"/>
      <c r="Q9" s="1"/>
      <c r="R9" s="1"/>
      <c r="S9" s="1"/>
      <c r="T9" s="1"/>
      <c r="U9" s="1"/>
      <c r="V9" s="1"/>
      <c r="W9" s="1"/>
    </row>
    <row r="10" spans="1:23" ht="18.75" x14ac:dyDescent="0.45">
      <c r="A10" s="36" t="s">
        <v>145</v>
      </c>
      <c r="C10" s="37" t="s">
        <v>149</v>
      </c>
      <c r="E10" s="9">
        <v>2230</v>
      </c>
      <c r="G10" s="43">
        <v>0</v>
      </c>
      <c r="H10" s="43"/>
      <c r="I10" s="43">
        <f t="shared" ref="I10:I14" si="0">E10-G10</f>
        <v>2230</v>
      </c>
      <c r="J10" s="43"/>
      <c r="K10" s="43">
        <v>2230</v>
      </c>
      <c r="L10" s="38"/>
      <c r="M10" s="38">
        <v>0</v>
      </c>
      <c r="N10" s="38"/>
      <c r="O10" s="38">
        <f t="shared" ref="O10:O14" si="1">K10-M10</f>
        <v>2230</v>
      </c>
      <c r="P10" s="1"/>
      <c r="Q10" s="1"/>
      <c r="R10" s="1"/>
      <c r="S10" s="1"/>
      <c r="T10" s="1"/>
      <c r="U10" s="1"/>
      <c r="V10" s="1"/>
      <c r="W10" s="1"/>
    </row>
    <row r="11" spans="1:23" ht="18.75" x14ac:dyDescent="0.45">
      <c r="A11" s="36" t="s">
        <v>143</v>
      </c>
      <c r="C11" s="37" t="s">
        <v>150</v>
      </c>
      <c r="E11" s="9">
        <v>1540</v>
      </c>
      <c r="G11" s="43">
        <v>0</v>
      </c>
      <c r="H11" s="43"/>
      <c r="I11" s="43">
        <f t="shared" si="0"/>
        <v>1540</v>
      </c>
      <c r="J11" s="43"/>
      <c r="K11" s="43">
        <v>1540</v>
      </c>
      <c r="L11" s="38"/>
      <c r="M11" s="38">
        <v>0</v>
      </c>
      <c r="N11" s="38"/>
      <c r="O11" s="38">
        <f t="shared" si="1"/>
        <v>1540</v>
      </c>
      <c r="P11" s="1"/>
      <c r="Q11" s="1"/>
      <c r="R11" s="1"/>
      <c r="S11" s="1"/>
      <c r="T11" s="1"/>
      <c r="U11" s="1"/>
      <c r="V11" s="1"/>
      <c r="W11" s="1"/>
    </row>
    <row r="12" spans="1:23" ht="18.75" x14ac:dyDescent="0.45">
      <c r="A12" s="36" t="s">
        <v>201</v>
      </c>
      <c r="C12" s="37" t="s">
        <v>151</v>
      </c>
      <c r="E12" s="9">
        <v>2157</v>
      </c>
      <c r="G12" s="43">
        <v>0</v>
      </c>
      <c r="H12" s="43"/>
      <c r="I12" s="43">
        <f t="shared" si="0"/>
        <v>2157</v>
      </c>
      <c r="J12" s="43"/>
      <c r="K12" s="43">
        <v>2157</v>
      </c>
      <c r="L12" s="38"/>
      <c r="M12" s="38">
        <v>0</v>
      </c>
      <c r="N12" s="38"/>
      <c r="O12" s="38">
        <f t="shared" si="1"/>
        <v>2157</v>
      </c>
      <c r="P12" s="1"/>
      <c r="Q12" s="1"/>
      <c r="R12" s="1"/>
      <c r="S12" s="1"/>
      <c r="T12" s="1"/>
      <c r="U12" s="1"/>
      <c r="V12" s="1"/>
      <c r="W12" s="1"/>
    </row>
    <row r="13" spans="1:23" ht="21" customHeight="1" x14ac:dyDescent="0.45">
      <c r="A13" s="36" t="s">
        <v>146</v>
      </c>
      <c r="C13" s="37" t="s">
        <v>152</v>
      </c>
      <c r="E13" s="9">
        <v>36356303</v>
      </c>
      <c r="G13" s="43">
        <v>0</v>
      </c>
      <c r="H13" s="43"/>
      <c r="I13" s="43">
        <f t="shared" si="0"/>
        <v>36356303</v>
      </c>
      <c r="J13" s="43"/>
      <c r="K13" s="43">
        <v>36356303</v>
      </c>
      <c r="L13" s="38"/>
      <c r="M13" s="38">
        <v>0</v>
      </c>
      <c r="N13" s="38"/>
      <c r="O13" s="38">
        <f t="shared" si="1"/>
        <v>36356303</v>
      </c>
      <c r="P13" s="1"/>
      <c r="Q13" s="1"/>
      <c r="R13" s="1"/>
      <c r="S13" s="1"/>
      <c r="T13" s="1"/>
      <c r="U13" s="1"/>
      <c r="V13" s="1"/>
      <c r="W13" s="1"/>
    </row>
    <row r="14" spans="1:23" ht="18.75" x14ac:dyDescent="0.45">
      <c r="A14" s="36" t="s">
        <v>153</v>
      </c>
      <c r="C14" s="37" t="s">
        <v>147</v>
      </c>
      <c r="E14" s="9">
        <v>38640</v>
      </c>
      <c r="G14" s="43">
        <v>0</v>
      </c>
      <c r="H14" s="43"/>
      <c r="I14" s="43">
        <f t="shared" si="0"/>
        <v>38640</v>
      </c>
      <c r="J14" s="43"/>
      <c r="K14" s="43">
        <v>38640</v>
      </c>
      <c r="L14" s="38"/>
      <c r="M14" s="38">
        <v>0</v>
      </c>
      <c r="N14" s="38"/>
      <c r="O14" s="38">
        <f t="shared" si="1"/>
        <v>38640</v>
      </c>
      <c r="P14" s="1"/>
      <c r="Q14" s="1"/>
      <c r="R14" s="1"/>
      <c r="S14" s="1"/>
      <c r="T14" s="1"/>
      <c r="U14" s="1"/>
      <c r="V14" s="1"/>
      <c r="W14" s="1"/>
    </row>
    <row r="15" spans="1:23" ht="19.5" thickBot="1" x14ac:dyDescent="0.5">
      <c r="A15" s="39" t="s">
        <v>1</v>
      </c>
      <c r="E15" s="44">
        <f>SUM(E9:$E$14)</f>
        <v>36404430</v>
      </c>
      <c r="F15" s="43"/>
      <c r="G15" s="44">
        <f>SUM(G9:$G$14)</f>
        <v>0</v>
      </c>
      <c r="H15" s="43"/>
      <c r="I15" s="44">
        <f>SUM(I9:$I$14)</f>
        <v>36404430</v>
      </c>
      <c r="J15" s="43"/>
      <c r="K15" s="44">
        <f>SUM(K9:K14)</f>
        <v>36404430</v>
      </c>
      <c r="L15" s="38"/>
      <c r="M15" s="40">
        <f>SUM(M9:$M$14)</f>
        <v>0</v>
      </c>
      <c r="N15" s="38"/>
      <c r="O15" s="40">
        <f>SUM(O9:$O$14)</f>
        <v>36404430</v>
      </c>
      <c r="P15" s="33"/>
      <c r="Q15" s="33"/>
      <c r="R15" s="1"/>
      <c r="S15" s="1"/>
      <c r="T15" s="1"/>
      <c r="U15" s="1"/>
      <c r="V15" s="1"/>
      <c r="W15" s="1"/>
    </row>
    <row r="16" spans="1:23" ht="19.5" thickTop="1" x14ac:dyDescent="0.45">
      <c r="A16" s="53"/>
      <c r="B16" s="53"/>
      <c r="C16" s="53"/>
      <c r="D16" s="53"/>
      <c r="E16" s="43"/>
      <c r="F16" s="43"/>
      <c r="G16" s="43"/>
      <c r="H16" s="43"/>
      <c r="I16" s="43"/>
      <c r="J16" s="43"/>
      <c r="K16" s="43"/>
      <c r="L16" s="38"/>
      <c r="M16" s="38"/>
      <c r="N16" s="38"/>
      <c r="O16" s="38"/>
      <c r="P16" s="33"/>
      <c r="Q16" s="33"/>
      <c r="R16" s="1"/>
      <c r="S16" s="1"/>
      <c r="T16" s="1"/>
      <c r="U16" s="1"/>
      <c r="V16" s="1"/>
      <c r="W16" s="1"/>
    </row>
    <row r="17" spans="1:23" ht="18.75" x14ac:dyDescent="0.45">
      <c r="A17" s="53"/>
      <c r="B17" s="53"/>
      <c r="C17" s="53"/>
      <c r="D17" s="53"/>
      <c r="E17" s="43"/>
      <c r="F17" s="43"/>
      <c r="G17" s="43"/>
      <c r="H17" s="43"/>
      <c r="I17" s="43"/>
      <c r="J17" s="43"/>
      <c r="K17" s="43"/>
      <c r="L17" s="38"/>
      <c r="M17" s="38"/>
      <c r="N17" s="38"/>
      <c r="O17" s="38"/>
      <c r="P17" s="33"/>
      <c r="Q17" s="33"/>
      <c r="R17" s="1"/>
      <c r="S17" s="1"/>
      <c r="T17" s="1"/>
      <c r="U17" s="1"/>
      <c r="V17" s="1"/>
      <c r="W17" s="1"/>
    </row>
    <row r="18" spans="1:23" x14ac:dyDescent="0.45">
      <c r="A18" s="53"/>
      <c r="B18" s="53"/>
      <c r="C18" s="53"/>
      <c r="D18" s="53"/>
      <c r="I18" s="45"/>
      <c r="J18" s="45"/>
      <c r="K18" s="45"/>
      <c r="L18" s="41"/>
      <c r="M18" s="41"/>
      <c r="N18" s="41"/>
      <c r="O18" s="41"/>
      <c r="P18" s="33"/>
      <c r="Q18" s="33"/>
      <c r="R18" s="1"/>
      <c r="S18" s="1"/>
      <c r="T18" s="1"/>
      <c r="U18" s="1"/>
      <c r="V18" s="1"/>
      <c r="W18" s="1"/>
    </row>
    <row r="19" spans="1:23" x14ac:dyDescent="0.45">
      <c r="A19" s="53"/>
      <c r="B19" s="53"/>
      <c r="C19" s="53"/>
      <c r="D19" s="53"/>
      <c r="P19" s="1"/>
      <c r="Q19" s="1"/>
      <c r="R19" s="1"/>
      <c r="S19" s="1"/>
      <c r="T19" s="1"/>
      <c r="U19" s="1"/>
      <c r="V19" s="1"/>
      <c r="W19" s="1"/>
    </row>
    <row r="20" spans="1:23" x14ac:dyDescent="0.45">
      <c r="A20" s="53"/>
      <c r="B20" s="53"/>
      <c r="C20" s="53"/>
      <c r="D20" s="53"/>
      <c r="P20" s="1"/>
      <c r="Q20" s="1"/>
      <c r="R20" s="1"/>
      <c r="S20" s="1"/>
      <c r="T20" s="1"/>
      <c r="U20" s="1"/>
      <c r="V20" s="1"/>
      <c r="W20" s="1"/>
    </row>
    <row r="21" spans="1:23" x14ac:dyDescent="0.45">
      <c r="A21" s="53"/>
      <c r="B21" s="53"/>
      <c r="C21" s="53"/>
      <c r="D21" s="53"/>
      <c r="P21" s="1"/>
      <c r="Q21" s="1"/>
      <c r="R21" s="1"/>
      <c r="S21" s="1"/>
      <c r="T21" s="1"/>
      <c r="U21" s="1"/>
      <c r="V21" s="1"/>
      <c r="W21" s="1"/>
    </row>
    <row r="22" spans="1:23" x14ac:dyDescent="0.45">
      <c r="A22" s="53"/>
      <c r="B22" s="53"/>
      <c r="C22" s="53"/>
      <c r="D22" s="53"/>
      <c r="P22" s="1"/>
      <c r="Q22" s="1"/>
      <c r="R22" s="1"/>
      <c r="S22" s="1"/>
      <c r="T22" s="1"/>
      <c r="U22" s="1"/>
      <c r="V22" s="1"/>
      <c r="W22" s="1"/>
    </row>
    <row r="23" spans="1:23" x14ac:dyDescent="0.45">
      <c r="A23" s="53"/>
      <c r="B23" s="53"/>
      <c r="C23" s="53"/>
      <c r="D23" s="53"/>
      <c r="P23" s="1"/>
      <c r="Q23" s="1"/>
      <c r="R23" s="1"/>
      <c r="S23" s="1"/>
      <c r="T23" s="1"/>
      <c r="U23" s="1"/>
      <c r="V23" s="1"/>
      <c r="W23" s="1"/>
    </row>
    <row r="24" spans="1:23" x14ac:dyDescent="0.45">
      <c r="A24" s="53"/>
      <c r="B24" s="53"/>
      <c r="C24" s="53"/>
      <c r="D24" s="53"/>
      <c r="P24" s="1"/>
      <c r="Q24" s="1"/>
      <c r="R24" s="1"/>
      <c r="S24" s="1"/>
      <c r="T24" s="1"/>
      <c r="U24" s="1"/>
      <c r="V24" s="1"/>
      <c r="W24" s="1"/>
    </row>
    <row r="25" spans="1:23" x14ac:dyDescent="0.45">
      <c r="A25" s="53"/>
      <c r="B25" s="53"/>
      <c r="C25" s="53"/>
      <c r="D25" s="53"/>
      <c r="P25" s="1"/>
      <c r="Q25" s="1"/>
      <c r="R25" s="1"/>
      <c r="S25" s="1"/>
      <c r="T25" s="1"/>
      <c r="U25" s="1"/>
      <c r="V25" s="1"/>
      <c r="W25" s="1"/>
    </row>
  </sheetData>
  <mergeCells count="6">
    <mergeCell ref="A3:O3"/>
    <mergeCell ref="E7:I7"/>
    <mergeCell ref="K7:O7"/>
    <mergeCell ref="A5:O5"/>
    <mergeCell ref="A1:O1"/>
    <mergeCell ref="A2:O2"/>
  </mergeCells>
  <pageMargins left="0.7" right="0.7" top="0.75" bottom="0.75" header="0.3" footer="0.3"/>
  <pageSetup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DD439-1187-4EF9-8A0A-F58CB0ED07CA}">
  <sheetPr>
    <pageSetUpPr fitToPage="1"/>
  </sheetPr>
  <dimension ref="A1:I14"/>
  <sheetViews>
    <sheetView rightToLeft="1" view="pageBreakPreview" zoomScale="115" zoomScaleNormal="100" zoomScaleSheetLayoutView="115" workbookViewId="0">
      <selection activeCell="A4" sqref="A4"/>
    </sheetView>
  </sheetViews>
  <sheetFormatPr defaultColWidth="9.125" defaultRowHeight="18" x14ac:dyDescent="0.45"/>
  <cols>
    <col min="1" max="1" width="35" style="1" bestFit="1" customWidth="1"/>
    <col min="2" max="2" width="1.375" style="1" customWidth="1"/>
    <col min="3" max="3" width="18.375" style="1" customWidth="1"/>
    <col min="4" max="4" width="1.375" style="1" customWidth="1"/>
    <col min="5" max="5" width="31" style="1" customWidth="1"/>
    <col min="6" max="7" width="9.125" style="1"/>
    <col min="8" max="8" width="12.875" style="1" bestFit="1" customWidth="1"/>
    <col min="9" max="9" width="10.375" style="1" bestFit="1" customWidth="1"/>
    <col min="10" max="16384" width="9.125" style="1"/>
  </cols>
  <sheetData>
    <row r="1" spans="1:9" s="54" customFormat="1" ht="20.100000000000001" customHeight="1" x14ac:dyDescent="0.45">
      <c r="A1" s="74" t="s">
        <v>113</v>
      </c>
      <c r="B1" s="75"/>
      <c r="C1" s="75"/>
      <c r="D1" s="75"/>
      <c r="E1" s="75"/>
    </row>
    <row r="2" spans="1:9" ht="20.100000000000001" customHeight="1" x14ac:dyDescent="0.45">
      <c r="A2" s="76" t="s">
        <v>135</v>
      </c>
      <c r="B2" s="77"/>
      <c r="C2" s="77"/>
      <c r="D2" s="77"/>
      <c r="E2" s="77"/>
    </row>
    <row r="3" spans="1:9" ht="20.100000000000001" customHeight="1" x14ac:dyDescent="0.45">
      <c r="A3" s="76" t="s">
        <v>159</v>
      </c>
      <c r="B3" s="77"/>
      <c r="C3" s="77"/>
      <c r="D3" s="77"/>
      <c r="E3" s="77"/>
    </row>
    <row r="5" spans="1:9" ht="21" x14ac:dyDescent="0.45">
      <c r="A5" s="86" t="s">
        <v>56</v>
      </c>
      <c r="B5" s="77"/>
      <c r="C5" s="77"/>
      <c r="D5" s="77"/>
      <c r="E5" s="77"/>
    </row>
    <row r="7" spans="1:9" ht="21" x14ac:dyDescent="0.45">
      <c r="C7" s="14" t="s">
        <v>111</v>
      </c>
      <c r="E7" s="24" t="s">
        <v>202</v>
      </c>
    </row>
    <row r="8" spans="1:9" ht="21" x14ac:dyDescent="0.45">
      <c r="A8" s="15" t="s">
        <v>35</v>
      </c>
      <c r="C8" s="15" t="s">
        <v>19</v>
      </c>
      <c r="E8" s="15" t="s">
        <v>19</v>
      </c>
    </row>
    <row r="9" spans="1:9" ht="20.25" customHeight="1" x14ac:dyDescent="0.45">
      <c r="A9" s="16" t="s">
        <v>57</v>
      </c>
      <c r="C9" s="8">
        <f>70102143</f>
        <v>70102143</v>
      </c>
      <c r="E9" s="8">
        <f>70102143</f>
        <v>70102143</v>
      </c>
    </row>
    <row r="10" spans="1:9" ht="20.25" customHeight="1" x14ac:dyDescent="0.45">
      <c r="A10" s="16" t="s">
        <v>114</v>
      </c>
      <c r="C10" s="8">
        <f>99340546</f>
        <v>99340546</v>
      </c>
      <c r="E10" s="8">
        <f>99340546</f>
        <v>99340546</v>
      </c>
      <c r="I10" s="29"/>
    </row>
    <row r="11" spans="1:9" ht="20.25" customHeight="1" x14ac:dyDescent="0.45">
      <c r="A11" s="16" t="s">
        <v>115</v>
      </c>
      <c r="C11" s="8">
        <f>-129033</f>
        <v>-129033</v>
      </c>
      <c r="D11" s="9"/>
      <c r="E11" s="8">
        <f>-129033</f>
        <v>-129033</v>
      </c>
      <c r="H11" s="29"/>
    </row>
    <row r="12" spans="1:9" ht="20.25" customHeight="1" x14ac:dyDescent="0.45">
      <c r="A12" s="16" t="s">
        <v>119</v>
      </c>
      <c r="C12" s="8">
        <f>24053563</f>
        <v>24053563</v>
      </c>
      <c r="D12" s="9"/>
      <c r="E12" s="8">
        <f>24053563</f>
        <v>24053563</v>
      </c>
    </row>
    <row r="13" spans="1:9" ht="23.25" thickBot="1" x14ac:dyDescent="0.5">
      <c r="A13" s="6" t="s">
        <v>158</v>
      </c>
      <c r="C13" s="5">
        <f>SUM(C9:C12)</f>
        <v>193367219</v>
      </c>
      <c r="E13" s="5">
        <f>SUM(E9:E12)</f>
        <v>193367219</v>
      </c>
    </row>
    <row r="14" spans="1:9" ht="19.5" thickTop="1" x14ac:dyDescent="0.45">
      <c r="C14" s="3"/>
      <c r="E14" s="3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E5CB9-F267-43C1-B5DF-6CC78C9C0BC6}">
  <sheetPr>
    <pageSetUpPr fitToPage="1"/>
  </sheetPr>
  <dimension ref="A1:AM88"/>
  <sheetViews>
    <sheetView rightToLeft="1" view="pageBreakPreview" topLeftCell="A43" zoomScale="70" zoomScaleNormal="100" zoomScaleSheetLayoutView="70" workbookViewId="0">
      <selection activeCell="BF26" sqref="A23:BF26"/>
    </sheetView>
  </sheetViews>
  <sheetFormatPr defaultColWidth="9.125" defaultRowHeight="18" x14ac:dyDescent="0.45"/>
  <cols>
    <col min="1" max="1" width="28.375" style="1" bestFit="1" customWidth="1"/>
    <col min="2" max="2" width="1.375" style="1" customWidth="1"/>
    <col min="3" max="3" width="18" style="1" customWidth="1"/>
    <col min="4" max="4" width="1.375" style="1" customWidth="1"/>
    <col min="5" max="5" width="25.875" style="1" customWidth="1"/>
    <col min="6" max="6" width="1.375" style="1" customWidth="1"/>
    <col min="7" max="7" width="26" style="1" customWidth="1"/>
    <col min="8" max="8" width="1.375" style="1" customWidth="1"/>
    <col min="9" max="9" width="16.25" style="28" customWidth="1"/>
    <col min="10" max="10" width="23.625" style="1" customWidth="1"/>
    <col min="11" max="11" width="1.375" style="1" customWidth="1"/>
    <col min="12" max="12" width="16.25" style="1" customWidth="1"/>
    <col min="13" max="13" width="23.625" style="1" customWidth="1"/>
    <col min="14" max="14" width="1.375" style="1" customWidth="1"/>
    <col min="15" max="15" width="18" style="1" customWidth="1"/>
    <col min="16" max="16" width="1.375" style="1" customWidth="1"/>
    <col min="17" max="17" width="16.25" style="1" customWidth="1"/>
    <col min="18" max="18" width="1.375" style="1" customWidth="1"/>
    <col min="19" max="19" width="26" style="1" customWidth="1"/>
    <col min="20" max="20" width="2.125" style="1" customWidth="1"/>
    <col min="21" max="21" width="26" style="1" customWidth="1"/>
    <col min="22" max="22" width="1.375" style="1" customWidth="1"/>
    <col min="23" max="23" width="19" style="1" bestFit="1" customWidth="1"/>
    <col min="24" max="24" width="15.625" style="1" hidden="1" customWidth="1"/>
    <col min="25" max="25" width="2" style="59" hidden="1" customWidth="1"/>
    <col min="26" max="26" width="14.625" style="1" hidden="1" customWidth="1"/>
    <col min="27" max="27" width="2.125" style="1" hidden="1" customWidth="1"/>
    <col min="28" max="28" width="10.375" style="1" hidden="1" customWidth="1"/>
    <col min="29" max="29" width="1.75" style="1" hidden="1" customWidth="1"/>
    <col min="30" max="30" width="17.375" style="1" hidden="1" customWidth="1"/>
    <col min="31" max="31" width="1.625" style="1" hidden="1" customWidth="1"/>
    <col min="32" max="32" width="17.375" style="1" hidden="1" customWidth="1"/>
    <col min="33" max="33" width="9.125" style="1" hidden="1" customWidth="1"/>
    <col min="34" max="34" width="10.625" style="1" hidden="1" customWidth="1"/>
    <col min="35" max="35" width="9.125" style="1" hidden="1" customWidth="1"/>
    <col min="36" max="36" width="0" style="1" hidden="1" customWidth="1"/>
    <col min="37" max="37" width="36.25" style="1" hidden="1" customWidth="1"/>
    <col min="38" max="38" width="7.5" style="1" hidden="1" customWidth="1"/>
    <col min="39" max="39" width="11" style="1" hidden="1" customWidth="1"/>
    <col min="40" max="49" width="0" style="1" hidden="1" customWidth="1"/>
    <col min="50" max="16384" width="9.125" style="1"/>
  </cols>
  <sheetData>
    <row r="1" spans="1:34" s="54" customFormat="1" ht="20.100000000000001" customHeight="1" x14ac:dyDescent="0.45">
      <c r="A1" s="74" t="s">
        <v>91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Y1" s="60"/>
    </row>
    <row r="2" spans="1:34" ht="20.100000000000001" customHeight="1" x14ac:dyDescent="0.45">
      <c r="A2" s="76" t="s">
        <v>12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1:34" ht="20.100000000000001" customHeight="1" x14ac:dyDescent="0.45">
      <c r="A3" s="76" t="s">
        <v>159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1:34" ht="18.75" x14ac:dyDescent="0.45">
      <c r="Z4" s="51">
        <v>2133430583241</v>
      </c>
    </row>
    <row r="5" spans="1:34" ht="21" x14ac:dyDescent="0.45">
      <c r="C5" s="78" t="s">
        <v>122</v>
      </c>
      <c r="D5" s="79"/>
      <c r="E5" s="79"/>
      <c r="F5" s="79"/>
      <c r="G5" s="79"/>
      <c r="I5" s="78" t="s">
        <v>11</v>
      </c>
      <c r="J5" s="79"/>
      <c r="K5" s="79"/>
      <c r="L5" s="79"/>
      <c r="M5" s="79"/>
      <c r="O5" s="78" t="s">
        <v>203</v>
      </c>
      <c r="P5" s="79"/>
      <c r="Q5" s="79"/>
      <c r="R5" s="79"/>
      <c r="S5" s="79"/>
      <c r="T5" s="79"/>
      <c r="U5" s="79"/>
      <c r="V5" s="79"/>
      <c r="W5" s="79"/>
    </row>
    <row r="6" spans="1:34" ht="18.75" customHeight="1" x14ac:dyDescent="0.45">
      <c r="A6" s="80" t="s">
        <v>10</v>
      </c>
      <c r="C6" s="82" t="s">
        <v>3</v>
      </c>
      <c r="E6" s="83" t="s">
        <v>4</v>
      </c>
      <c r="G6" s="83" t="s">
        <v>6</v>
      </c>
      <c r="I6" s="80" t="s">
        <v>9</v>
      </c>
      <c r="J6" s="77"/>
      <c r="L6" s="80" t="s">
        <v>8</v>
      </c>
      <c r="M6" s="77"/>
      <c r="O6" s="82" t="s">
        <v>3</v>
      </c>
      <c r="Q6" s="84" t="s">
        <v>7</v>
      </c>
      <c r="S6" s="83" t="s">
        <v>4</v>
      </c>
      <c r="U6" s="83" t="s">
        <v>6</v>
      </c>
      <c r="W6" s="84" t="s">
        <v>5</v>
      </c>
    </row>
    <row r="7" spans="1:34" ht="18.75" x14ac:dyDescent="0.45">
      <c r="A7" s="81"/>
      <c r="C7" s="81"/>
      <c r="E7" s="81"/>
      <c r="G7" s="81"/>
      <c r="I7" s="11" t="s">
        <v>3</v>
      </c>
      <c r="J7" s="11" t="s">
        <v>4</v>
      </c>
      <c r="L7" s="11" t="s">
        <v>3</v>
      </c>
      <c r="M7" s="11" t="s">
        <v>2</v>
      </c>
      <c r="O7" s="81"/>
      <c r="Q7" s="85"/>
      <c r="S7" s="81"/>
      <c r="U7" s="81"/>
      <c r="W7" s="85"/>
    </row>
    <row r="8" spans="1:34" ht="21" customHeight="1" x14ac:dyDescent="0.45">
      <c r="A8" s="10" t="s">
        <v>63</v>
      </c>
      <c r="C8" s="8">
        <v>33849255</v>
      </c>
      <c r="E8" s="8">
        <v>91163687425</v>
      </c>
      <c r="G8" s="8">
        <v>129073160017</v>
      </c>
      <c r="I8" s="8"/>
      <c r="J8" s="8"/>
      <c r="K8" s="8"/>
      <c r="L8" s="8"/>
      <c r="M8" s="8"/>
      <c r="N8" s="9"/>
      <c r="O8" s="8">
        <v>33849255</v>
      </c>
      <c r="Q8" s="8">
        <v>3388</v>
      </c>
      <c r="S8" s="8">
        <v>91163687425</v>
      </c>
      <c r="U8" s="8">
        <v>113998922352</v>
      </c>
      <c r="W8" s="7">
        <f t="shared" ref="W8:W49" si="0">U8/$Z$4</f>
        <v>5.3434558990346243E-2</v>
      </c>
      <c r="X8" s="64" t="s">
        <v>63</v>
      </c>
      <c r="Y8" s="64"/>
      <c r="Z8" s="65">
        <v>33849255</v>
      </c>
      <c r="AA8" s="65"/>
      <c r="AB8" s="65">
        <v>3388</v>
      </c>
      <c r="AC8" s="65"/>
      <c r="AD8" s="65">
        <v>91163687425</v>
      </c>
      <c r="AE8" s="65"/>
      <c r="AF8" s="65">
        <v>113998922352</v>
      </c>
      <c r="AG8" s="1" t="b">
        <f>X8=A8</f>
        <v>1</v>
      </c>
      <c r="AH8" s="68">
        <f>Z8-O8</f>
        <v>0</v>
      </c>
    </row>
    <row r="9" spans="1:34" ht="21" customHeight="1" x14ac:dyDescent="0.45">
      <c r="A9" s="10" t="s">
        <v>127</v>
      </c>
      <c r="C9" s="8">
        <v>4846893</v>
      </c>
      <c r="E9" s="8">
        <v>43999915558</v>
      </c>
      <c r="G9" s="8">
        <v>45145165858</v>
      </c>
      <c r="I9" s="8"/>
      <c r="J9" s="8"/>
      <c r="K9" s="8"/>
      <c r="L9" s="8"/>
      <c r="M9" s="8"/>
      <c r="N9" s="9"/>
      <c r="O9" s="8">
        <v>7679183</v>
      </c>
      <c r="Q9" s="8">
        <v>5850</v>
      </c>
      <c r="S9" s="8">
        <v>43999915558</v>
      </c>
      <c r="U9" s="8">
        <v>44655927391</v>
      </c>
      <c r="W9" s="7">
        <f t="shared" si="0"/>
        <v>2.0931511782849278E-2</v>
      </c>
      <c r="X9" s="64" t="s">
        <v>127</v>
      </c>
      <c r="Y9" s="64"/>
      <c r="Z9" s="65">
        <v>7679183</v>
      </c>
      <c r="AA9" s="65"/>
      <c r="AB9" s="65">
        <v>5850</v>
      </c>
      <c r="AC9" s="65"/>
      <c r="AD9" s="65">
        <v>43999915558</v>
      </c>
      <c r="AE9" s="65"/>
      <c r="AF9" s="65">
        <v>44655927391</v>
      </c>
      <c r="AG9" s="59" t="b">
        <f t="shared" ref="AG9:AG60" si="1">X9=A9</f>
        <v>1</v>
      </c>
      <c r="AH9" s="68">
        <f t="shared" ref="AH9:AH60" si="2">Z9-O9</f>
        <v>0</v>
      </c>
    </row>
    <row r="10" spans="1:34" ht="21" customHeight="1" x14ac:dyDescent="0.45">
      <c r="A10" s="10" t="s">
        <v>87</v>
      </c>
      <c r="C10" s="8">
        <v>3402534</v>
      </c>
      <c r="E10" s="8">
        <v>12008300969</v>
      </c>
      <c r="G10" s="8">
        <v>10336274951</v>
      </c>
      <c r="I10" s="62">
        <v>2897466</v>
      </c>
      <c r="J10" s="62">
        <v>8700702381</v>
      </c>
      <c r="K10" s="8"/>
      <c r="L10" s="8"/>
      <c r="M10" s="8"/>
      <c r="N10" s="58"/>
      <c r="O10" s="8">
        <v>6300000</v>
      </c>
      <c r="Q10" s="8">
        <v>2785</v>
      </c>
      <c r="S10" s="8">
        <v>20709003350</v>
      </c>
      <c r="U10" s="8">
        <v>17441104275</v>
      </c>
      <c r="W10" s="7">
        <f t="shared" si="0"/>
        <v>8.1751449576129894E-3</v>
      </c>
      <c r="X10" s="64" t="s">
        <v>87</v>
      </c>
      <c r="Y10" s="64"/>
      <c r="Z10" s="65">
        <v>6300000</v>
      </c>
      <c r="AA10" s="65"/>
      <c r="AB10" s="65">
        <v>2785</v>
      </c>
      <c r="AC10" s="65"/>
      <c r="AD10" s="65">
        <v>20709003350</v>
      </c>
      <c r="AE10" s="65"/>
      <c r="AF10" s="65">
        <v>17441104275</v>
      </c>
      <c r="AG10" s="59" t="b">
        <f t="shared" si="1"/>
        <v>1</v>
      </c>
      <c r="AH10" s="68">
        <f t="shared" si="2"/>
        <v>0</v>
      </c>
    </row>
    <row r="11" spans="1:34" ht="21" customHeight="1" x14ac:dyDescent="0.45">
      <c r="A11" s="10" t="s">
        <v>70</v>
      </c>
      <c r="C11" s="8">
        <v>9570714</v>
      </c>
      <c r="E11" s="8">
        <v>55529436392</v>
      </c>
      <c r="G11" s="8">
        <v>83150334523</v>
      </c>
      <c r="I11" s="8"/>
      <c r="J11" s="8"/>
      <c r="K11" s="8"/>
      <c r="L11" s="8">
        <v>9570714</v>
      </c>
      <c r="M11" s="8">
        <v>72147561088</v>
      </c>
      <c r="N11" s="9"/>
      <c r="O11" s="8">
        <v>0</v>
      </c>
      <c r="Q11" s="8">
        <v>0</v>
      </c>
      <c r="S11" s="8">
        <v>0</v>
      </c>
      <c r="U11" s="8">
        <v>0</v>
      </c>
      <c r="W11" s="7">
        <f t="shared" si="0"/>
        <v>0</v>
      </c>
      <c r="X11" s="64"/>
      <c r="Y11" s="64"/>
      <c r="Z11" s="65"/>
      <c r="AA11" s="65"/>
      <c r="AB11" s="65"/>
      <c r="AC11" s="65"/>
      <c r="AD11" s="65"/>
      <c r="AE11" s="65"/>
      <c r="AF11" s="65"/>
      <c r="AG11" s="59" t="b">
        <f t="shared" si="1"/>
        <v>0</v>
      </c>
      <c r="AH11" s="68">
        <f t="shared" si="2"/>
        <v>0</v>
      </c>
    </row>
    <row r="12" spans="1:34" ht="21" customHeight="1" x14ac:dyDescent="0.45">
      <c r="A12" s="10" t="s">
        <v>66</v>
      </c>
      <c r="C12" s="8">
        <v>6114932</v>
      </c>
      <c r="E12" s="8">
        <v>68476100650</v>
      </c>
      <c r="G12" s="8">
        <v>93913568993</v>
      </c>
      <c r="I12" s="8"/>
      <c r="J12" s="8"/>
      <c r="K12" s="8"/>
      <c r="L12" s="8">
        <v>6114932</v>
      </c>
      <c r="M12" s="8">
        <v>91421364249</v>
      </c>
      <c r="N12" s="9"/>
      <c r="O12" s="8">
        <v>0</v>
      </c>
      <c r="Q12" s="8">
        <v>0</v>
      </c>
      <c r="S12" s="8">
        <v>0</v>
      </c>
      <c r="U12" s="8">
        <v>0</v>
      </c>
      <c r="W12" s="7">
        <f t="shared" si="0"/>
        <v>0</v>
      </c>
      <c r="X12" s="64"/>
      <c r="Y12" s="64"/>
      <c r="Z12" s="65"/>
      <c r="AA12" s="65"/>
      <c r="AB12" s="65"/>
      <c r="AC12" s="65"/>
      <c r="AD12" s="65"/>
      <c r="AE12" s="65"/>
      <c r="AF12" s="65"/>
      <c r="AG12" s="59" t="b">
        <f t="shared" si="1"/>
        <v>0</v>
      </c>
      <c r="AH12" s="68">
        <f t="shared" si="2"/>
        <v>0</v>
      </c>
    </row>
    <row r="13" spans="1:34" ht="21" customHeight="1" x14ac:dyDescent="0.45">
      <c r="A13" s="10" t="s">
        <v>82</v>
      </c>
      <c r="C13" s="8">
        <v>271500</v>
      </c>
      <c r="E13" s="8">
        <v>6047922083</v>
      </c>
      <c r="G13" s="8">
        <v>6868562435</v>
      </c>
      <c r="I13" s="8"/>
      <c r="J13" s="8"/>
      <c r="K13" s="8"/>
      <c r="L13" s="8">
        <v>271500</v>
      </c>
      <c r="M13" s="8">
        <v>6785175987</v>
      </c>
      <c r="N13" s="9"/>
      <c r="O13" s="8">
        <v>0</v>
      </c>
      <c r="Q13" s="8">
        <v>0</v>
      </c>
      <c r="S13" s="8">
        <v>0</v>
      </c>
      <c r="U13" s="8">
        <v>0</v>
      </c>
      <c r="W13" s="7">
        <f t="shared" si="0"/>
        <v>0</v>
      </c>
      <c r="X13" s="64"/>
      <c r="Y13" s="64"/>
      <c r="Z13" s="65"/>
      <c r="AA13" s="65"/>
      <c r="AB13" s="65"/>
      <c r="AC13" s="65"/>
      <c r="AD13" s="65"/>
      <c r="AE13" s="65"/>
      <c r="AF13" s="65"/>
      <c r="AG13" s="59" t="b">
        <f t="shared" si="1"/>
        <v>0</v>
      </c>
      <c r="AH13" s="68">
        <f t="shared" si="2"/>
        <v>0</v>
      </c>
    </row>
    <row r="14" spans="1:34" ht="21" customHeight="1" x14ac:dyDescent="0.45">
      <c r="A14" s="10" t="s">
        <v>73</v>
      </c>
      <c r="C14" s="8">
        <v>300000</v>
      </c>
      <c r="E14" s="8">
        <v>42314278549</v>
      </c>
      <c r="G14" s="8">
        <v>49798922850</v>
      </c>
      <c r="I14" s="8"/>
      <c r="J14" s="8"/>
      <c r="K14" s="8"/>
      <c r="L14" s="8"/>
      <c r="M14" s="8"/>
      <c r="N14" s="59"/>
      <c r="O14" s="8">
        <v>300000</v>
      </c>
      <c r="Q14" s="8">
        <v>170690</v>
      </c>
      <c r="S14" s="8">
        <v>42314278549</v>
      </c>
      <c r="U14" s="8">
        <v>50902318350</v>
      </c>
      <c r="W14" s="7">
        <f t="shared" si="0"/>
        <v>2.3859374075659762E-2</v>
      </c>
      <c r="X14" s="64" t="s">
        <v>73</v>
      </c>
      <c r="Y14" s="64"/>
      <c r="Z14" s="65">
        <v>300000</v>
      </c>
      <c r="AA14" s="65"/>
      <c r="AB14" s="65">
        <v>170690</v>
      </c>
      <c r="AC14" s="65"/>
      <c r="AD14" s="65">
        <v>42314278549</v>
      </c>
      <c r="AE14" s="65"/>
      <c r="AF14" s="65">
        <v>50902318350</v>
      </c>
      <c r="AG14" s="59" t="b">
        <f t="shared" si="1"/>
        <v>1</v>
      </c>
      <c r="AH14" s="68">
        <f t="shared" si="2"/>
        <v>0</v>
      </c>
    </row>
    <row r="15" spans="1:34" ht="21" customHeight="1" x14ac:dyDescent="0.45">
      <c r="A15" s="10" t="s">
        <v>128</v>
      </c>
      <c r="C15" s="8">
        <v>258936</v>
      </c>
      <c r="E15" s="8">
        <v>4403976611</v>
      </c>
      <c r="G15" s="8">
        <v>3956166237</v>
      </c>
      <c r="I15" s="8"/>
      <c r="J15" s="8"/>
      <c r="K15" s="8"/>
      <c r="L15" s="8"/>
      <c r="M15" s="8"/>
      <c r="N15" s="9"/>
      <c r="O15" s="8">
        <v>258936</v>
      </c>
      <c r="Q15" s="8">
        <v>13860</v>
      </c>
      <c r="S15" s="8">
        <v>4403976611</v>
      </c>
      <c r="U15" s="8">
        <v>3567499288</v>
      </c>
      <c r="W15" s="7">
        <f t="shared" si="0"/>
        <v>1.6721890630162597E-3</v>
      </c>
      <c r="X15" s="64" t="s">
        <v>128</v>
      </c>
      <c r="Y15" s="64"/>
      <c r="Z15" s="65">
        <v>258936</v>
      </c>
      <c r="AA15" s="65"/>
      <c r="AB15" s="65">
        <v>13860</v>
      </c>
      <c r="AC15" s="65"/>
      <c r="AD15" s="65">
        <v>4403976611</v>
      </c>
      <c r="AE15" s="65"/>
      <c r="AF15" s="65">
        <v>3567499288</v>
      </c>
      <c r="AG15" s="59" t="b">
        <f t="shared" si="1"/>
        <v>1</v>
      </c>
      <c r="AH15" s="68">
        <f t="shared" si="2"/>
        <v>0</v>
      </c>
    </row>
    <row r="16" spans="1:34" ht="21" customHeight="1" x14ac:dyDescent="0.45">
      <c r="A16" s="10" t="s">
        <v>155</v>
      </c>
      <c r="C16" s="8">
        <v>1107365</v>
      </c>
      <c r="E16" s="8">
        <v>49453690349</v>
      </c>
      <c r="G16" s="8">
        <v>43700814281</v>
      </c>
      <c r="I16" s="8"/>
      <c r="J16" s="8"/>
      <c r="K16" s="8"/>
      <c r="L16" s="8"/>
      <c r="M16" s="8"/>
      <c r="N16" s="58"/>
      <c r="O16" s="8">
        <v>1107365</v>
      </c>
      <c r="Q16" s="8">
        <v>37850</v>
      </c>
      <c r="S16" s="8">
        <v>49453690349</v>
      </c>
      <c r="U16" s="8">
        <v>41664378352</v>
      </c>
      <c r="W16" s="7">
        <f t="shared" si="0"/>
        <v>1.9529287092484436E-2</v>
      </c>
      <c r="X16" s="64" t="s">
        <v>155</v>
      </c>
      <c r="Y16" s="64"/>
      <c r="Z16" s="65">
        <v>1107365</v>
      </c>
      <c r="AA16" s="65"/>
      <c r="AB16" s="65">
        <v>37850</v>
      </c>
      <c r="AC16" s="65"/>
      <c r="AD16" s="65">
        <v>49453690349</v>
      </c>
      <c r="AE16" s="65"/>
      <c r="AF16" s="65">
        <v>41664378352</v>
      </c>
      <c r="AG16" s="59" t="b">
        <f t="shared" si="1"/>
        <v>1</v>
      </c>
      <c r="AH16" s="68">
        <f t="shared" si="2"/>
        <v>0</v>
      </c>
    </row>
    <row r="17" spans="1:39" ht="21" customHeight="1" x14ac:dyDescent="0.45">
      <c r="A17" s="10" t="s">
        <v>89</v>
      </c>
      <c r="C17" s="8">
        <v>70247</v>
      </c>
      <c r="E17" s="8">
        <v>70310785</v>
      </c>
      <c r="G17" s="8">
        <v>67803991</v>
      </c>
      <c r="I17" s="8"/>
      <c r="J17" s="8"/>
      <c r="K17" s="8"/>
      <c r="L17" s="8">
        <v>70247</v>
      </c>
      <c r="M17" s="8">
        <v>153204902</v>
      </c>
      <c r="N17" s="59"/>
      <c r="O17" s="8">
        <v>0</v>
      </c>
      <c r="Q17" s="8">
        <v>0</v>
      </c>
      <c r="S17" s="8">
        <v>0</v>
      </c>
      <c r="U17" s="8">
        <v>0</v>
      </c>
      <c r="W17" s="7">
        <f t="shared" si="0"/>
        <v>0</v>
      </c>
      <c r="X17" s="64" t="s">
        <v>89</v>
      </c>
      <c r="Y17" s="64"/>
      <c r="Z17" s="65">
        <v>1000000</v>
      </c>
      <c r="AA17" s="65"/>
      <c r="AB17" s="65">
        <v>6430</v>
      </c>
      <c r="AC17" s="65"/>
      <c r="AD17" s="65">
        <v>7188243397</v>
      </c>
      <c r="AE17" s="65"/>
      <c r="AF17" s="65">
        <v>6391741500</v>
      </c>
      <c r="AG17" s="59" t="b">
        <f t="shared" si="1"/>
        <v>1</v>
      </c>
      <c r="AH17" s="68">
        <f t="shared" si="2"/>
        <v>1000000</v>
      </c>
    </row>
    <row r="18" spans="1:39" ht="21" customHeight="1" x14ac:dyDescent="0.45">
      <c r="A18" s="10" t="s">
        <v>75</v>
      </c>
      <c r="C18" s="8">
        <v>12274500</v>
      </c>
      <c r="E18" s="8">
        <v>48273919871</v>
      </c>
      <c r="G18" s="8">
        <v>52161270253</v>
      </c>
      <c r="I18" s="8"/>
      <c r="J18" s="8"/>
      <c r="K18" s="8"/>
      <c r="L18" s="8"/>
      <c r="M18" s="8"/>
      <c r="O18" s="8">
        <v>12274500</v>
      </c>
      <c r="Q18" s="8">
        <v>4116</v>
      </c>
      <c r="S18" s="8">
        <v>48273919871</v>
      </c>
      <c r="U18" s="8">
        <v>50221237043</v>
      </c>
      <c r="W18" s="7">
        <f t="shared" si="0"/>
        <v>2.3540131765949671E-2</v>
      </c>
      <c r="X18" s="64" t="s">
        <v>75</v>
      </c>
      <c r="Y18" s="64"/>
      <c r="Z18" s="65">
        <v>12274500</v>
      </c>
      <c r="AA18" s="65"/>
      <c r="AB18" s="65">
        <v>4116</v>
      </c>
      <c r="AC18" s="65"/>
      <c r="AD18" s="65">
        <v>48273919871</v>
      </c>
      <c r="AE18" s="65"/>
      <c r="AF18" s="65">
        <v>50221237043</v>
      </c>
      <c r="AG18" s="59" t="b">
        <f t="shared" si="1"/>
        <v>1</v>
      </c>
      <c r="AH18" s="68">
        <f t="shared" si="2"/>
        <v>0</v>
      </c>
    </row>
    <row r="19" spans="1:39" ht="21" customHeight="1" x14ac:dyDescent="0.45">
      <c r="A19" s="10" t="s">
        <v>88</v>
      </c>
      <c r="C19" s="8">
        <v>1</v>
      </c>
      <c r="E19" s="8">
        <v>5546</v>
      </c>
      <c r="G19" s="8">
        <v>5678</v>
      </c>
      <c r="I19" s="8"/>
      <c r="J19" s="8"/>
      <c r="K19" s="8"/>
      <c r="L19" s="8"/>
      <c r="M19" s="8"/>
      <c r="N19" s="58"/>
      <c r="O19" s="8">
        <v>1</v>
      </c>
      <c r="Q19" s="8">
        <v>5060</v>
      </c>
      <c r="S19" s="8">
        <v>5546</v>
      </c>
      <c r="U19" s="8">
        <v>5032</v>
      </c>
      <c r="W19" s="7">
        <f t="shared" si="0"/>
        <v>2.3586424791734447E-9</v>
      </c>
      <c r="X19" s="64" t="s">
        <v>88</v>
      </c>
      <c r="Y19" s="64"/>
      <c r="Z19" s="65">
        <v>1</v>
      </c>
      <c r="AA19" s="65"/>
      <c r="AB19" s="65">
        <v>5060</v>
      </c>
      <c r="AC19" s="65"/>
      <c r="AD19" s="65">
        <v>5546</v>
      </c>
      <c r="AE19" s="65"/>
      <c r="AF19" s="65">
        <v>5032</v>
      </c>
      <c r="AG19" s="59" t="b">
        <f t="shared" si="1"/>
        <v>1</v>
      </c>
      <c r="AH19" s="68">
        <f t="shared" si="2"/>
        <v>0</v>
      </c>
    </row>
    <row r="20" spans="1:39" ht="21" customHeight="1" x14ac:dyDescent="0.45">
      <c r="A20" s="10" t="s">
        <v>126</v>
      </c>
      <c r="C20" s="8">
        <v>1000000</v>
      </c>
      <c r="E20" s="8">
        <v>30462858416</v>
      </c>
      <c r="G20" s="8">
        <v>27336375000</v>
      </c>
      <c r="I20" s="8"/>
      <c r="J20" s="8"/>
      <c r="K20" s="8"/>
      <c r="L20" s="8"/>
      <c r="M20" s="8"/>
      <c r="N20" s="9"/>
      <c r="O20" s="8">
        <v>1000000</v>
      </c>
      <c r="Q20" s="8">
        <v>28150</v>
      </c>
      <c r="S20" s="8">
        <v>30462858416</v>
      </c>
      <c r="U20" s="8">
        <v>27982507500</v>
      </c>
      <c r="W20" s="7">
        <f t="shared" si="0"/>
        <v>1.3116202476806341E-2</v>
      </c>
      <c r="X20" s="64" t="s">
        <v>126</v>
      </c>
      <c r="Y20" s="64"/>
      <c r="Z20" s="65">
        <v>1000000</v>
      </c>
      <c r="AA20" s="65"/>
      <c r="AB20" s="65">
        <v>28150</v>
      </c>
      <c r="AC20" s="65"/>
      <c r="AD20" s="65">
        <v>30462858416</v>
      </c>
      <c r="AE20" s="65"/>
      <c r="AF20" s="65">
        <v>27982507500</v>
      </c>
      <c r="AG20" s="59" t="b">
        <f t="shared" si="1"/>
        <v>1</v>
      </c>
      <c r="AH20" s="68">
        <f t="shared" si="2"/>
        <v>0</v>
      </c>
    </row>
    <row r="21" spans="1:39" ht="21" customHeight="1" x14ac:dyDescent="0.45">
      <c r="A21" s="10" t="s">
        <v>157</v>
      </c>
      <c r="C21" s="8">
        <v>725000</v>
      </c>
      <c r="E21" s="8">
        <v>20203475406</v>
      </c>
      <c r="G21" s="8">
        <v>20027870889</v>
      </c>
      <c r="I21" s="8"/>
      <c r="J21" s="8"/>
      <c r="K21" s="8"/>
      <c r="L21" s="8"/>
      <c r="M21" s="8"/>
      <c r="N21" s="9"/>
      <c r="O21" s="8">
        <v>725000</v>
      </c>
      <c r="Q21" s="8">
        <v>29780</v>
      </c>
      <c r="S21" s="8">
        <v>20203475406</v>
      </c>
      <c r="U21" s="8">
        <v>21462036525</v>
      </c>
      <c r="W21" s="7">
        <f t="shared" si="0"/>
        <v>1.0059871032876991E-2</v>
      </c>
      <c r="X21" s="64" t="s">
        <v>157</v>
      </c>
      <c r="Y21" s="64"/>
      <c r="Z21" s="65">
        <v>725000</v>
      </c>
      <c r="AA21" s="65"/>
      <c r="AB21" s="65">
        <v>29780</v>
      </c>
      <c r="AC21" s="65"/>
      <c r="AD21" s="65">
        <v>20203475406</v>
      </c>
      <c r="AE21" s="65"/>
      <c r="AF21" s="65">
        <v>21462036525</v>
      </c>
      <c r="AG21" s="59" t="b">
        <f t="shared" si="1"/>
        <v>1</v>
      </c>
      <c r="AH21" s="68">
        <f t="shared" si="2"/>
        <v>0</v>
      </c>
    </row>
    <row r="22" spans="1:39" ht="22.5" x14ac:dyDescent="0.45">
      <c r="A22" s="10" t="s">
        <v>74</v>
      </c>
      <c r="C22" s="8">
        <v>4234355</v>
      </c>
      <c r="E22" s="8">
        <v>51506738719</v>
      </c>
      <c r="G22" s="8">
        <v>75175608100</v>
      </c>
      <c r="I22" s="8"/>
      <c r="J22" s="8"/>
      <c r="K22" s="8"/>
      <c r="L22" s="8"/>
      <c r="M22" s="8"/>
      <c r="N22" s="58"/>
      <c r="O22" s="8">
        <v>4234355</v>
      </c>
      <c r="Q22" s="8">
        <v>15790</v>
      </c>
      <c r="S22" s="8">
        <v>51506738719</v>
      </c>
      <c r="U22" s="8">
        <v>66462645686</v>
      </c>
      <c r="W22" s="7">
        <f t="shared" si="0"/>
        <v>3.115294503045574E-2</v>
      </c>
      <c r="X22" s="64" t="s">
        <v>74</v>
      </c>
      <c r="Y22" s="64"/>
      <c r="Z22" s="65">
        <v>4234355</v>
      </c>
      <c r="AA22" s="65"/>
      <c r="AB22" s="65">
        <v>15790</v>
      </c>
      <c r="AC22" s="65"/>
      <c r="AD22" s="65">
        <v>51506738719</v>
      </c>
      <c r="AE22" s="65"/>
      <c r="AF22" s="65">
        <v>66462645686</v>
      </c>
      <c r="AG22" s="59" t="b">
        <f t="shared" si="1"/>
        <v>1</v>
      </c>
      <c r="AH22" s="68">
        <f t="shared" si="2"/>
        <v>0</v>
      </c>
    </row>
    <row r="23" spans="1:39" ht="21" customHeight="1" x14ac:dyDescent="0.45">
      <c r="A23" s="10" t="s">
        <v>129</v>
      </c>
      <c r="C23" s="8">
        <v>14000000</v>
      </c>
      <c r="E23" s="8">
        <v>50474796962</v>
      </c>
      <c r="G23" s="8">
        <v>39439927800</v>
      </c>
      <c r="I23" s="8"/>
      <c r="J23" s="8"/>
      <c r="K23" s="8"/>
      <c r="L23" s="8"/>
      <c r="M23" s="8"/>
      <c r="N23" s="9"/>
      <c r="O23" s="8">
        <v>14000000</v>
      </c>
      <c r="Q23" s="8">
        <v>2366</v>
      </c>
      <c r="S23" s="8">
        <v>50474796962</v>
      </c>
      <c r="U23" s="8">
        <v>32926912200</v>
      </c>
      <c r="W23" s="7">
        <f t="shared" si="0"/>
        <v>1.5433786530789813E-2</v>
      </c>
      <c r="X23" s="64" t="s">
        <v>129</v>
      </c>
      <c r="Y23" s="64"/>
      <c r="Z23" s="65">
        <v>14000000</v>
      </c>
      <c r="AA23" s="65"/>
      <c r="AB23" s="65">
        <v>2366</v>
      </c>
      <c r="AC23" s="65"/>
      <c r="AD23" s="65">
        <v>50474796962</v>
      </c>
      <c r="AE23" s="65"/>
      <c r="AF23" s="65">
        <v>32926912200</v>
      </c>
      <c r="AG23" s="59" t="b">
        <f t="shared" si="1"/>
        <v>1</v>
      </c>
      <c r="AH23" s="68">
        <f t="shared" si="2"/>
        <v>0</v>
      </c>
    </row>
    <row r="24" spans="1:39" ht="21" customHeight="1" x14ac:dyDescent="0.45">
      <c r="A24" s="10" t="s">
        <v>123</v>
      </c>
      <c r="C24" s="8">
        <v>830027</v>
      </c>
      <c r="E24" s="8">
        <v>10577931896</v>
      </c>
      <c r="G24" s="8">
        <v>12953886931</v>
      </c>
      <c r="I24" s="8"/>
      <c r="J24" s="8"/>
      <c r="K24" s="8"/>
      <c r="L24" s="8"/>
      <c r="M24" s="8"/>
      <c r="N24" s="9"/>
      <c r="O24" s="8">
        <v>830027</v>
      </c>
      <c r="Q24" s="8">
        <v>12820</v>
      </c>
      <c r="S24" s="8">
        <v>10577931896</v>
      </c>
      <c r="U24" s="8">
        <v>10577632514</v>
      </c>
      <c r="W24" s="7">
        <f t="shared" si="0"/>
        <v>4.9580392242858894E-3</v>
      </c>
      <c r="X24" s="64" t="s">
        <v>123</v>
      </c>
      <c r="Y24" s="64"/>
      <c r="Z24" s="65">
        <v>830027</v>
      </c>
      <c r="AA24" s="65"/>
      <c r="AB24" s="65">
        <v>12820</v>
      </c>
      <c r="AC24" s="65"/>
      <c r="AD24" s="65">
        <v>10577931896</v>
      </c>
      <c r="AE24" s="65"/>
      <c r="AF24" s="65">
        <v>10577632514</v>
      </c>
      <c r="AG24" s="59" t="b">
        <f t="shared" si="1"/>
        <v>1</v>
      </c>
      <c r="AH24" s="68">
        <f t="shared" si="2"/>
        <v>0</v>
      </c>
    </row>
    <row r="25" spans="1:39" ht="21" customHeight="1" x14ac:dyDescent="0.45">
      <c r="A25" s="10" t="s">
        <v>130</v>
      </c>
      <c r="C25" s="8">
        <v>10115901</v>
      </c>
      <c r="E25" s="8">
        <v>14990570096</v>
      </c>
      <c r="G25" s="8">
        <v>13042257677</v>
      </c>
      <c r="I25" s="8"/>
      <c r="J25" s="8"/>
      <c r="K25" s="8"/>
      <c r="L25" s="8"/>
      <c r="M25" s="8"/>
      <c r="N25" s="9"/>
      <c r="O25" s="8">
        <v>10115901</v>
      </c>
      <c r="Q25" s="8">
        <v>1184</v>
      </c>
      <c r="S25" s="8">
        <v>14990570096</v>
      </c>
      <c r="U25" s="8">
        <v>11905962289</v>
      </c>
      <c r="W25" s="7">
        <f t="shared" si="0"/>
        <v>5.580665423345091E-3</v>
      </c>
      <c r="X25" s="64" t="s">
        <v>130</v>
      </c>
      <c r="Y25" s="64"/>
      <c r="Z25" s="65">
        <v>10115901</v>
      </c>
      <c r="AA25" s="65"/>
      <c r="AB25" s="65">
        <v>1184</v>
      </c>
      <c r="AC25" s="65"/>
      <c r="AD25" s="65">
        <v>14990570096</v>
      </c>
      <c r="AE25" s="65"/>
      <c r="AF25" s="65">
        <v>11905962289</v>
      </c>
      <c r="AG25" s="59" t="b">
        <f t="shared" si="1"/>
        <v>1</v>
      </c>
      <c r="AH25" s="68">
        <f t="shared" si="2"/>
        <v>0</v>
      </c>
    </row>
    <row r="26" spans="1:39" ht="21" customHeight="1" x14ac:dyDescent="0.45">
      <c r="A26" s="10" t="s">
        <v>156</v>
      </c>
      <c r="C26" s="8">
        <v>400000</v>
      </c>
      <c r="E26" s="8">
        <v>14059013491</v>
      </c>
      <c r="G26" s="8">
        <v>13725842400</v>
      </c>
      <c r="I26" s="8">
        <v>253648</v>
      </c>
      <c r="J26" s="8">
        <v>8863658765</v>
      </c>
      <c r="K26" s="8"/>
      <c r="L26" s="8"/>
      <c r="M26" s="8"/>
      <c r="N26" s="9"/>
      <c r="O26" s="8">
        <v>653648</v>
      </c>
      <c r="Q26" s="8">
        <v>34890</v>
      </c>
      <c r="S26" s="8">
        <v>22922672256</v>
      </c>
      <c r="U26" s="8">
        <v>22670084341</v>
      </c>
      <c r="W26" s="7">
        <f t="shared" si="0"/>
        <v>1.0626117633769342E-2</v>
      </c>
      <c r="X26" s="64" t="s">
        <v>156</v>
      </c>
      <c r="Y26" s="64"/>
      <c r="Z26" s="65">
        <v>653648</v>
      </c>
      <c r="AA26" s="65"/>
      <c r="AB26" s="65">
        <v>34890</v>
      </c>
      <c r="AC26" s="65"/>
      <c r="AD26" s="65">
        <v>22922672256</v>
      </c>
      <c r="AE26" s="65"/>
      <c r="AF26" s="65">
        <v>22670084341</v>
      </c>
      <c r="AG26" s="59" t="b">
        <f t="shared" si="1"/>
        <v>1</v>
      </c>
      <c r="AH26" s="68">
        <f t="shared" si="2"/>
        <v>0</v>
      </c>
    </row>
    <row r="27" spans="1:39" ht="21" customHeight="1" x14ac:dyDescent="0.45">
      <c r="A27" s="10" t="s">
        <v>131</v>
      </c>
      <c r="C27" s="8">
        <v>11061022</v>
      </c>
      <c r="E27" s="8">
        <v>43117915484</v>
      </c>
      <c r="G27" s="8">
        <v>40429383198</v>
      </c>
      <c r="I27" s="8"/>
      <c r="J27" s="8"/>
      <c r="K27" s="8"/>
      <c r="L27" s="8"/>
      <c r="M27" s="8"/>
      <c r="N27" s="9"/>
      <c r="O27" s="8">
        <v>11061022</v>
      </c>
      <c r="Q27" s="8">
        <v>3228</v>
      </c>
      <c r="S27" s="8">
        <v>43117915484</v>
      </c>
      <c r="U27" s="8">
        <v>35492534394</v>
      </c>
      <c r="W27" s="7">
        <f t="shared" si="0"/>
        <v>1.6636367113516078E-2</v>
      </c>
      <c r="X27" s="64" t="s">
        <v>131</v>
      </c>
      <c r="Y27" s="64"/>
      <c r="Z27" s="65">
        <v>11061022</v>
      </c>
      <c r="AA27" s="65"/>
      <c r="AB27" s="65">
        <v>3228</v>
      </c>
      <c r="AC27" s="65"/>
      <c r="AD27" s="65">
        <v>43117915484</v>
      </c>
      <c r="AE27" s="65"/>
      <c r="AF27" s="65">
        <v>35492534394</v>
      </c>
      <c r="AG27" s="59" t="b">
        <f t="shared" si="1"/>
        <v>1</v>
      </c>
      <c r="AH27" s="68">
        <f t="shared" si="2"/>
        <v>0</v>
      </c>
    </row>
    <row r="28" spans="1:39" ht="21" customHeight="1" x14ac:dyDescent="0.45">
      <c r="A28" s="10" t="s">
        <v>64</v>
      </c>
      <c r="C28" s="8">
        <v>19612903</v>
      </c>
      <c r="E28" s="8">
        <v>100510915443</v>
      </c>
      <c r="G28" s="8">
        <v>164742942624</v>
      </c>
      <c r="I28" s="8"/>
      <c r="J28" s="8"/>
      <c r="K28" s="8"/>
      <c r="L28" s="8"/>
      <c r="M28" s="8"/>
      <c r="N28" s="9"/>
      <c r="O28" s="8">
        <v>19612903</v>
      </c>
      <c r="Q28" s="8">
        <v>8270</v>
      </c>
      <c r="S28" s="8">
        <v>100510915443</v>
      </c>
      <c r="U28" s="8">
        <v>161233625501</v>
      </c>
      <c r="W28" s="7">
        <f t="shared" si="0"/>
        <v>7.5574816807989137E-2</v>
      </c>
      <c r="X28" s="64" t="s">
        <v>64</v>
      </c>
      <c r="Y28" s="64"/>
      <c r="Z28" s="65">
        <v>19612903</v>
      </c>
      <c r="AA28" s="65"/>
      <c r="AB28" s="65">
        <v>8270</v>
      </c>
      <c r="AC28" s="65"/>
      <c r="AD28" s="65">
        <v>100510915443</v>
      </c>
      <c r="AE28" s="65"/>
      <c r="AF28" s="65">
        <v>161233625501</v>
      </c>
      <c r="AG28" s="59" t="b">
        <f t="shared" si="1"/>
        <v>1</v>
      </c>
      <c r="AH28" s="68">
        <f t="shared" si="2"/>
        <v>0</v>
      </c>
      <c r="AK28" s="10"/>
    </row>
    <row r="29" spans="1:39" ht="21" customHeight="1" x14ac:dyDescent="0.45">
      <c r="A29" s="10" t="s">
        <v>85</v>
      </c>
      <c r="C29" s="8">
        <v>1979252</v>
      </c>
      <c r="E29" s="8">
        <v>13477555218</v>
      </c>
      <c r="G29" s="8">
        <v>15661104590</v>
      </c>
      <c r="I29" s="8"/>
      <c r="J29" s="8"/>
      <c r="K29" s="8"/>
      <c r="L29" s="8"/>
      <c r="M29" s="8"/>
      <c r="N29" s="9"/>
      <c r="O29" s="8">
        <v>1979252</v>
      </c>
      <c r="Q29" s="8">
        <v>7250</v>
      </c>
      <c r="S29" s="8">
        <v>13477555218</v>
      </c>
      <c r="U29" s="8">
        <v>14264197020</v>
      </c>
      <c r="W29" s="7">
        <f t="shared" si="0"/>
        <v>6.6860375641238593E-3</v>
      </c>
      <c r="X29" s="64" t="s">
        <v>85</v>
      </c>
      <c r="Y29" s="64"/>
      <c r="Z29" s="65">
        <v>1979252</v>
      </c>
      <c r="AA29" s="65"/>
      <c r="AB29" s="65">
        <v>7250</v>
      </c>
      <c r="AC29" s="65"/>
      <c r="AD29" s="65">
        <v>13477555218</v>
      </c>
      <c r="AE29" s="65"/>
      <c r="AF29" s="65">
        <v>14264197020</v>
      </c>
      <c r="AG29" s="59" t="b">
        <f t="shared" si="1"/>
        <v>1</v>
      </c>
      <c r="AH29" s="68">
        <f t="shared" si="2"/>
        <v>0</v>
      </c>
      <c r="AK29" s="10" t="s">
        <v>183</v>
      </c>
      <c r="AL29" s="1">
        <v>625000</v>
      </c>
      <c r="AM29" s="1">
        <v>13543931419</v>
      </c>
    </row>
    <row r="30" spans="1:39" ht="21" customHeight="1" x14ac:dyDescent="0.45">
      <c r="A30" s="10" t="s">
        <v>68</v>
      </c>
      <c r="C30" s="8">
        <v>5400000</v>
      </c>
      <c r="E30" s="8">
        <v>74548342180</v>
      </c>
      <c r="G30" s="8">
        <v>116268064200</v>
      </c>
      <c r="I30" s="8"/>
      <c r="J30" s="8"/>
      <c r="K30" s="8"/>
      <c r="L30" s="8">
        <v>5400000</v>
      </c>
      <c r="M30" s="8">
        <v>101444696255</v>
      </c>
      <c r="N30" s="58"/>
      <c r="O30" s="8">
        <v>0</v>
      </c>
      <c r="Q30" s="8">
        <v>0</v>
      </c>
      <c r="S30" s="8">
        <v>0</v>
      </c>
      <c r="U30" s="8">
        <v>0</v>
      </c>
      <c r="W30" s="7">
        <f t="shared" si="0"/>
        <v>0</v>
      </c>
      <c r="X30" s="64"/>
      <c r="Y30" s="64"/>
      <c r="Z30" s="65"/>
      <c r="AA30" s="65"/>
      <c r="AB30" s="65"/>
      <c r="AC30" s="65"/>
      <c r="AD30" s="65"/>
      <c r="AE30" s="65"/>
      <c r="AF30" s="65"/>
      <c r="AG30" s="59" t="b">
        <f t="shared" si="1"/>
        <v>0</v>
      </c>
      <c r="AH30" s="68">
        <f t="shared" si="2"/>
        <v>0</v>
      </c>
      <c r="AK30" s="10" t="s">
        <v>184</v>
      </c>
      <c r="AL30" s="1">
        <v>9570714</v>
      </c>
      <c r="AM30" s="1">
        <v>72147561088</v>
      </c>
    </row>
    <row r="31" spans="1:39" ht="21" customHeight="1" x14ac:dyDescent="0.45">
      <c r="A31" s="10" t="s">
        <v>67</v>
      </c>
      <c r="C31" s="8">
        <v>2518426</v>
      </c>
      <c r="E31" s="8">
        <v>57397775772</v>
      </c>
      <c r="G31" s="8">
        <v>75178344206</v>
      </c>
      <c r="I31" s="8"/>
      <c r="J31" s="8"/>
      <c r="K31" s="8"/>
      <c r="L31" s="8"/>
      <c r="M31" s="8"/>
      <c r="N31" s="59"/>
      <c r="O31" s="8">
        <v>0</v>
      </c>
      <c r="Q31" s="8">
        <v>0</v>
      </c>
      <c r="S31" s="8">
        <v>0</v>
      </c>
      <c r="U31" s="8">
        <v>0</v>
      </c>
      <c r="W31" s="7">
        <f t="shared" si="0"/>
        <v>0</v>
      </c>
      <c r="X31" s="64"/>
      <c r="Y31" s="64"/>
      <c r="Z31" s="65"/>
      <c r="AA31" s="65"/>
      <c r="AB31" s="65"/>
      <c r="AC31" s="65"/>
      <c r="AD31" s="65"/>
      <c r="AE31" s="65"/>
      <c r="AF31" s="65"/>
      <c r="AG31" s="59" t="b">
        <f t="shared" si="1"/>
        <v>0</v>
      </c>
      <c r="AH31" s="68">
        <f t="shared" si="2"/>
        <v>0</v>
      </c>
      <c r="AK31" s="10" t="s">
        <v>185</v>
      </c>
      <c r="AL31" s="1">
        <v>6114932</v>
      </c>
      <c r="AM31" s="1">
        <v>91421364249</v>
      </c>
    </row>
    <row r="32" spans="1:39" ht="21" customHeight="1" x14ac:dyDescent="0.45">
      <c r="A32" s="10" t="s">
        <v>81</v>
      </c>
      <c r="C32" s="8">
        <v>1000000</v>
      </c>
      <c r="E32" s="8">
        <v>29461649709</v>
      </c>
      <c r="G32" s="8">
        <v>26083872000</v>
      </c>
      <c r="I32" s="8"/>
      <c r="J32" s="8"/>
      <c r="K32" s="8"/>
      <c r="L32" s="8"/>
      <c r="M32" s="8"/>
      <c r="N32" s="9"/>
      <c r="O32" s="8">
        <v>1000000</v>
      </c>
      <c r="Q32" s="8">
        <v>26720</v>
      </c>
      <c r="S32" s="8">
        <v>29461649709</v>
      </c>
      <c r="U32" s="8">
        <v>26561016000</v>
      </c>
      <c r="W32" s="7">
        <f t="shared" si="0"/>
        <v>1.2449908709778523E-2</v>
      </c>
      <c r="X32" s="64" t="s">
        <v>170</v>
      </c>
      <c r="Y32" s="64"/>
      <c r="Z32" s="65">
        <v>1000000</v>
      </c>
      <c r="AA32" s="65"/>
      <c r="AB32" s="65">
        <v>26720</v>
      </c>
      <c r="AC32" s="65"/>
      <c r="AD32" s="65">
        <v>29461649709</v>
      </c>
      <c r="AE32" s="65"/>
      <c r="AF32" s="65">
        <v>26561016000</v>
      </c>
      <c r="AG32" s="59" t="b">
        <f t="shared" si="1"/>
        <v>0</v>
      </c>
      <c r="AH32" s="68">
        <f t="shared" si="2"/>
        <v>0</v>
      </c>
      <c r="AK32" s="10" t="s">
        <v>182</v>
      </c>
      <c r="AL32" s="1">
        <v>271500</v>
      </c>
      <c r="AM32" s="1">
        <v>6785175987</v>
      </c>
    </row>
    <row r="33" spans="1:39" ht="21" customHeight="1" x14ac:dyDescent="0.45">
      <c r="A33" s="10" t="s">
        <v>125</v>
      </c>
      <c r="C33" s="8">
        <v>1200000</v>
      </c>
      <c r="E33" s="8">
        <v>30856608280</v>
      </c>
      <c r="G33" s="8">
        <v>33543223200</v>
      </c>
      <c r="I33" s="8"/>
      <c r="J33" s="8"/>
      <c r="K33" s="8"/>
      <c r="L33" s="8"/>
      <c r="M33" s="8"/>
      <c r="N33" s="9"/>
      <c r="O33" s="8">
        <v>1200000</v>
      </c>
      <c r="Q33" s="8">
        <v>30840</v>
      </c>
      <c r="S33" s="8">
        <v>30856608280</v>
      </c>
      <c r="U33" s="8">
        <v>36787802400</v>
      </c>
      <c r="W33" s="7">
        <f t="shared" si="0"/>
        <v>1.7243496314801033E-2</v>
      </c>
      <c r="X33" s="64" t="s">
        <v>171</v>
      </c>
      <c r="Y33" s="64"/>
      <c r="Z33" s="65">
        <v>1200000</v>
      </c>
      <c r="AA33" s="65"/>
      <c r="AB33" s="65">
        <v>30840</v>
      </c>
      <c r="AC33" s="65"/>
      <c r="AD33" s="65">
        <v>30856608280</v>
      </c>
      <c r="AE33" s="65"/>
      <c r="AF33" s="65">
        <v>36787802400</v>
      </c>
      <c r="AG33" s="59" t="b">
        <f t="shared" si="1"/>
        <v>0</v>
      </c>
      <c r="AH33" s="68">
        <f t="shared" si="2"/>
        <v>0</v>
      </c>
      <c r="AK33" s="10" t="s">
        <v>181</v>
      </c>
      <c r="AL33" s="1">
        <v>70247</v>
      </c>
      <c r="AM33" s="1">
        <v>153204902</v>
      </c>
    </row>
    <row r="34" spans="1:39" ht="21" customHeight="1" x14ac:dyDescent="0.45">
      <c r="A34" s="10" t="s">
        <v>124</v>
      </c>
      <c r="C34" s="8">
        <v>1000000</v>
      </c>
      <c r="E34" s="8">
        <v>7188243397</v>
      </c>
      <c r="G34" s="8">
        <v>7455375000</v>
      </c>
      <c r="I34" s="8"/>
      <c r="J34" s="8"/>
      <c r="K34" s="8"/>
      <c r="L34" s="8"/>
      <c r="M34" s="8"/>
      <c r="N34" s="9"/>
      <c r="O34" s="8">
        <v>1000000</v>
      </c>
      <c r="Q34" s="8">
        <v>6430</v>
      </c>
      <c r="S34" s="8">
        <v>7188243397</v>
      </c>
      <c r="U34" s="8">
        <v>6391741500</v>
      </c>
      <c r="W34" s="7">
        <f t="shared" si="0"/>
        <v>2.9959922531390681E-3</v>
      </c>
      <c r="AG34" s="59" t="b">
        <f t="shared" si="1"/>
        <v>0</v>
      </c>
      <c r="AH34" s="68">
        <f t="shared" si="2"/>
        <v>-1000000</v>
      </c>
      <c r="AK34" s="10" t="s">
        <v>186</v>
      </c>
      <c r="AL34" s="1">
        <v>1100000</v>
      </c>
      <c r="AM34" s="1">
        <v>33733087266</v>
      </c>
    </row>
    <row r="35" spans="1:39" ht="21" customHeight="1" x14ac:dyDescent="0.45">
      <c r="A35" s="10" t="s">
        <v>69</v>
      </c>
      <c r="C35" s="8">
        <v>8493333</v>
      </c>
      <c r="E35" s="8">
        <v>67342233967</v>
      </c>
      <c r="G35" s="8">
        <v>89324799340</v>
      </c>
      <c r="I35" s="8"/>
      <c r="J35" s="8"/>
      <c r="K35" s="8"/>
      <c r="L35" s="8"/>
      <c r="M35" s="8"/>
      <c r="N35" s="9"/>
      <c r="O35" s="8">
        <v>8493333</v>
      </c>
      <c r="Q35" s="8">
        <v>9090</v>
      </c>
      <c r="S35" s="8">
        <v>67342233967</v>
      </c>
      <c r="U35" s="8">
        <v>76745030813</v>
      </c>
      <c r="W35" s="7">
        <f t="shared" si="0"/>
        <v>3.5972593350758489E-2</v>
      </c>
      <c r="X35" s="64" t="s">
        <v>69</v>
      </c>
      <c r="Y35" s="64"/>
      <c r="Z35" s="65">
        <v>8493333</v>
      </c>
      <c r="AA35" s="65"/>
      <c r="AB35" s="65">
        <v>9090</v>
      </c>
      <c r="AC35" s="65"/>
      <c r="AD35" s="65">
        <v>67342233967</v>
      </c>
      <c r="AE35" s="65"/>
      <c r="AF35" s="65">
        <v>76745030813</v>
      </c>
      <c r="AG35" s="59" t="b">
        <f t="shared" si="1"/>
        <v>1</v>
      </c>
      <c r="AH35" s="68">
        <f t="shared" si="2"/>
        <v>0</v>
      </c>
      <c r="AK35" s="10" t="s">
        <v>189</v>
      </c>
      <c r="AL35" s="1">
        <v>4500000</v>
      </c>
      <c r="AM35" s="1">
        <v>57343763005</v>
      </c>
    </row>
    <row r="36" spans="1:39" ht="21" customHeight="1" x14ac:dyDescent="0.45">
      <c r="A36" s="10" t="s">
        <v>72</v>
      </c>
      <c r="C36" s="8">
        <v>1914089</v>
      </c>
      <c r="E36" s="8">
        <v>7926106224</v>
      </c>
      <c r="G36" s="8">
        <v>7860054406</v>
      </c>
      <c r="I36" s="8"/>
      <c r="J36" s="8"/>
      <c r="K36" s="8"/>
      <c r="L36" s="8"/>
      <c r="M36" s="8"/>
      <c r="N36" s="9"/>
      <c r="O36" s="8">
        <v>4764089</v>
      </c>
      <c r="Q36" s="8">
        <v>3663</v>
      </c>
      <c r="S36" s="8">
        <v>20029063958</v>
      </c>
      <c r="U36" s="8">
        <v>17347025405</v>
      </c>
      <c r="W36" s="7">
        <f t="shared" si="0"/>
        <v>8.13104749752264E-3</v>
      </c>
      <c r="X36" s="64" t="s">
        <v>72</v>
      </c>
      <c r="Y36" s="64"/>
      <c r="Z36" s="65">
        <v>4764089</v>
      </c>
      <c r="AA36" s="65"/>
      <c r="AB36" s="65">
        <v>3663</v>
      </c>
      <c r="AC36" s="65"/>
      <c r="AD36" s="65">
        <v>20029063958</v>
      </c>
      <c r="AE36" s="65"/>
      <c r="AF36" s="65">
        <v>17347025405</v>
      </c>
      <c r="AG36" s="59" t="b">
        <f t="shared" si="1"/>
        <v>1</v>
      </c>
      <c r="AH36" s="68">
        <f t="shared" si="2"/>
        <v>0</v>
      </c>
      <c r="AK36" s="10" t="s">
        <v>190</v>
      </c>
      <c r="AL36" s="1">
        <v>5400000</v>
      </c>
      <c r="AM36" s="1">
        <v>101444696255</v>
      </c>
    </row>
    <row r="37" spans="1:39" ht="21" customHeight="1" x14ac:dyDescent="0.45">
      <c r="A37" s="10" t="s">
        <v>84</v>
      </c>
      <c r="C37" s="8">
        <v>1717452</v>
      </c>
      <c r="E37" s="8">
        <v>31686914670</v>
      </c>
      <c r="G37" s="8">
        <v>41195536169</v>
      </c>
      <c r="I37" s="8"/>
      <c r="J37" s="8"/>
      <c r="K37" s="8"/>
      <c r="L37" s="8"/>
      <c r="M37" s="8"/>
      <c r="N37" s="9"/>
      <c r="O37" s="8">
        <v>1717452</v>
      </c>
      <c r="Q37" s="8">
        <v>21720</v>
      </c>
      <c r="S37" s="8">
        <v>31686914670</v>
      </c>
      <c r="U37" s="8">
        <v>37081104252</v>
      </c>
      <c r="W37" s="7">
        <f t="shared" si="0"/>
        <v>1.7380975290823972E-2</v>
      </c>
      <c r="X37" s="64" t="s">
        <v>84</v>
      </c>
      <c r="Y37" s="64"/>
      <c r="Z37" s="65">
        <v>1717452</v>
      </c>
      <c r="AA37" s="65"/>
      <c r="AB37" s="65">
        <v>21720</v>
      </c>
      <c r="AC37" s="65"/>
      <c r="AD37" s="65">
        <v>31686914670</v>
      </c>
      <c r="AE37" s="65"/>
      <c r="AF37" s="65">
        <v>37081104252</v>
      </c>
      <c r="AG37" s="59" t="b">
        <f t="shared" si="1"/>
        <v>1</v>
      </c>
      <c r="AH37" s="68">
        <f t="shared" si="2"/>
        <v>0</v>
      </c>
      <c r="AK37" s="10" t="s">
        <v>187</v>
      </c>
      <c r="AL37" s="1">
        <v>30000000</v>
      </c>
      <c r="AM37" s="1">
        <v>53052448500</v>
      </c>
    </row>
    <row r="38" spans="1:39" ht="21" customHeight="1" x14ac:dyDescent="0.45">
      <c r="A38" s="10" t="s">
        <v>132</v>
      </c>
      <c r="C38" s="8">
        <v>30000000</v>
      </c>
      <c r="E38" s="8">
        <v>48044544000</v>
      </c>
      <c r="G38" s="8">
        <v>50935122000</v>
      </c>
      <c r="I38" s="8"/>
      <c r="J38" s="8"/>
      <c r="K38" s="8"/>
      <c r="L38" s="8">
        <v>30000000</v>
      </c>
      <c r="M38" s="8">
        <v>53052448500</v>
      </c>
      <c r="N38" s="9"/>
      <c r="O38" s="8">
        <v>0</v>
      </c>
      <c r="Q38" s="8">
        <v>0</v>
      </c>
      <c r="S38" s="8">
        <v>0</v>
      </c>
      <c r="U38" s="8">
        <v>0</v>
      </c>
      <c r="W38" s="7">
        <f t="shared" si="0"/>
        <v>0</v>
      </c>
      <c r="X38" s="64"/>
      <c r="Y38" s="64"/>
      <c r="Z38" s="65"/>
      <c r="AA38" s="65"/>
      <c r="AB38" s="65"/>
      <c r="AC38" s="65"/>
      <c r="AD38" s="65"/>
      <c r="AE38" s="65"/>
      <c r="AF38" s="65"/>
      <c r="AG38" s="59" t="b">
        <f t="shared" si="1"/>
        <v>0</v>
      </c>
      <c r="AH38" s="68">
        <f t="shared" si="2"/>
        <v>0</v>
      </c>
      <c r="AK38" s="10" t="s">
        <v>188</v>
      </c>
      <c r="AL38" s="1">
        <v>230000</v>
      </c>
      <c r="AM38" s="1">
        <v>10183622031</v>
      </c>
    </row>
    <row r="39" spans="1:39" ht="21" customHeight="1" x14ac:dyDescent="0.45">
      <c r="A39" s="10" t="s">
        <v>79</v>
      </c>
      <c r="C39" s="8">
        <v>1000000</v>
      </c>
      <c r="E39" s="8">
        <v>33040633280</v>
      </c>
      <c r="G39" s="8">
        <v>44682547500</v>
      </c>
      <c r="I39" s="8"/>
      <c r="J39" s="8"/>
      <c r="K39" s="8"/>
      <c r="L39" s="8">
        <v>230000</v>
      </c>
      <c r="M39" s="8">
        <v>10183622031</v>
      </c>
      <c r="N39" s="59"/>
      <c r="O39" s="8">
        <v>770000</v>
      </c>
      <c r="Q39" s="8">
        <v>39690</v>
      </c>
      <c r="S39" s="8">
        <v>25441287626</v>
      </c>
      <c r="U39" s="8">
        <v>30379460266</v>
      </c>
      <c r="W39" s="7">
        <f t="shared" si="0"/>
        <v>1.4239722869187081E-2</v>
      </c>
      <c r="X39" s="64" t="s">
        <v>79</v>
      </c>
      <c r="Y39" s="64"/>
      <c r="Z39" s="65">
        <v>770000</v>
      </c>
      <c r="AA39" s="65"/>
      <c r="AB39" s="65">
        <v>39690</v>
      </c>
      <c r="AC39" s="65"/>
      <c r="AD39" s="65">
        <v>25441287626</v>
      </c>
      <c r="AE39" s="65"/>
      <c r="AF39" s="65">
        <v>30379460266</v>
      </c>
      <c r="AG39" s="59" t="b">
        <f t="shared" si="1"/>
        <v>1</v>
      </c>
      <c r="AH39" s="68">
        <f t="shared" si="2"/>
        <v>0</v>
      </c>
      <c r="AK39" s="10" t="s">
        <v>180</v>
      </c>
      <c r="AL39" s="1">
        <v>1475977</v>
      </c>
      <c r="AM39" s="1">
        <v>48624551113</v>
      </c>
    </row>
    <row r="40" spans="1:39" ht="21" customHeight="1" x14ac:dyDescent="0.45">
      <c r="A40" s="10" t="s">
        <v>133</v>
      </c>
      <c r="C40" s="8">
        <v>625000</v>
      </c>
      <c r="E40" s="8">
        <v>7256583000</v>
      </c>
      <c r="G40" s="8">
        <v>14227340625</v>
      </c>
      <c r="I40" s="8"/>
      <c r="J40" s="8"/>
      <c r="K40" s="8"/>
      <c r="L40" s="8">
        <v>625000</v>
      </c>
      <c r="M40" s="8">
        <v>13543931419</v>
      </c>
      <c r="N40" s="9"/>
      <c r="O40" s="8">
        <v>0</v>
      </c>
      <c r="Q40" s="8">
        <v>0</v>
      </c>
      <c r="S40" s="8">
        <v>0</v>
      </c>
      <c r="U40" s="8">
        <v>0</v>
      </c>
      <c r="W40" s="7">
        <f t="shared" si="0"/>
        <v>0</v>
      </c>
      <c r="X40" s="64"/>
      <c r="Y40" s="64"/>
      <c r="Z40" s="65"/>
      <c r="AA40" s="65"/>
      <c r="AB40" s="65"/>
      <c r="AC40" s="65"/>
      <c r="AD40" s="65"/>
      <c r="AE40" s="65"/>
      <c r="AF40" s="65"/>
      <c r="AG40" s="59" t="b">
        <f t="shared" si="1"/>
        <v>0</v>
      </c>
      <c r="AH40" s="68">
        <f t="shared" si="2"/>
        <v>0</v>
      </c>
      <c r="AK40" s="10"/>
    </row>
    <row r="41" spans="1:39" ht="21" customHeight="1" x14ac:dyDescent="0.45">
      <c r="A41" s="10" t="s">
        <v>80</v>
      </c>
      <c r="C41" s="8">
        <v>2500000</v>
      </c>
      <c r="E41" s="8">
        <v>15622939275</v>
      </c>
      <c r="G41" s="8">
        <v>17346172500</v>
      </c>
      <c r="I41" s="8"/>
      <c r="J41" s="8"/>
      <c r="K41" s="8"/>
      <c r="L41" s="8"/>
      <c r="M41" s="8"/>
      <c r="N41" s="9"/>
      <c r="O41" s="8">
        <v>2500000</v>
      </c>
      <c r="Q41" s="8">
        <v>6890</v>
      </c>
      <c r="S41" s="8">
        <v>15622939275</v>
      </c>
      <c r="U41" s="8">
        <v>17122511250</v>
      </c>
      <c r="W41" s="7">
        <f t="shared" si="0"/>
        <v>8.0258112846532583E-3</v>
      </c>
      <c r="X41" s="64" t="s">
        <v>80</v>
      </c>
      <c r="Y41" s="64"/>
      <c r="Z41" s="65">
        <v>2500000</v>
      </c>
      <c r="AA41" s="65"/>
      <c r="AB41" s="65">
        <v>6890</v>
      </c>
      <c r="AC41" s="65"/>
      <c r="AD41" s="65">
        <v>15622939275</v>
      </c>
      <c r="AE41" s="65"/>
      <c r="AF41" s="65">
        <v>17122511250</v>
      </c>
      <c r="AG41" s="59" t="b">
        <f t="shared" si="1"/>
        <v>1</v>
      </c>
      <c r="AH41" s="68">
        <f t="shared" si="2"/>
        <v>0</v>
      </c>
      <c r="AK41" s="10"/>
    </row>
    <row r="42" spans="1:39" ht="21" customHeight="1" x14ac:dyDescent="0.45">
      <c r="A42" s="10" t="s">
        <v>134</v>
      </c>
      <c r="C42" s="8">
        <v>1246276</v>
      </c>
      <c r="E42" s="8">
        <v>43186766823</v>
      </c>
      <c r="G42" s="8">
        <v>39643541054</v>
      </c>
      <c r="I42" s="8"/>
      <c r="J42" s="8"/>
      <c r="K42" s="8"/>
      <c r="L42" s="8"/>
      <c r="M42" s="8"/>
      <c r="N42" s="9"/>
      <c r="O42" s="8">
        <v>1246276</v>
      </c>
      <c r="Q42" s="8">
        <v>29350</v>
      </c>
      <c r="S42" s="8">
        <v>43186766823</v>
      </c>
      <c r="U42" s="8">
        <v>36360560308</v>
      </c>
      <c r="W42" s="7">
        <f t="shared" si="0"/>
        <v>1.7043235713234631E-2</v>
      </c>
      <c r="X42" s="64" t="s">
        <v>134</v>
      </c>
      <c r="Y42" s="64"/>
      <c r="Z42" s="65">
        <v>1246276</v>
      </c>
      <c r="AA42" s="65"/>
      <c r="AB42" s="65">
        <v>29350</v>
      </c>
      <c r="AC42" s="65"/>
      <c r="AD42" s="65">
        <v>43186766823</v>
      </c>
      <c r="AE42" s="65"/>
      <c r="AF42" s="65">
        <v>36360560308</v>
      </c>
      <c r="AG42" s="59" t="b">
        <f t="shared" si="1"/>
        <v>1</v>
      </c>
      <c r="AH42" s="68">
        <f t="shared" si="2"/>
        <v>0</v>
      </c>
      <c r="AK42" s="10"/>
    </row>
    <row r="43" spans="1:39" ht="21" customHeight="1" x14ac:dyDescent="0.45">
      <c r="A43" s="10" t="s">
        <v>71</v>
      </c>
      <c r="C43" s="8">
        <v>1475977</v>
      </c>
      <c r="E43" s="8">
        <v>42771521461</v>
      </c>
      <c r="G43" s="8">
        <v>51146415502</v>
      </c>
      <c r="I43" s="8"/>
      <c r="J43" s="8"/>
      <c r="K43" s="8"/>
      <c r="L43" s="8">
        <v>1475977</v>
      </c>
      <c r="M43" s="8">
        <v>48624551113</v>
      </c>
      <c r="N43" s="9"/>
      <c r="O43" s="8">
        <v>0</v>
      </c>
      <c r="Q43" s="8">
        <v>0</v>
      </c>
      <c r="S43" s="8">
        <v>0</v>
      </c>
      <c r="U43" s="8">
        <v>0</v>
      </c>
      <c r="W43" s="7">
        <f t="shared" si="0"/>
        <v>0</v>
      </c>
      <c r="X43" s="64"/>
      <c r="Y43" s="64"/>
      <c r="Z43" s="65"/>
      <c r="AA43" s="65"/>
      <c r="AB43" s="65"/>
      <c r="AC43" s="65"/>
      <c r="AD43" s="65"/>
      <c r="AE43" s="65"/>
      <c r="AF43" s="65"/>
      <c r="AG43" s="59" t="b">
        <f t="shared" si="1"/>
        <v>0</v>
      </c>
      <c r="AH43" s="68">
        <f t="shared" si="2"/>
        <v>0</v>
      </c>
      <c r="AK43" s="10"/>
    </row>
    <row r="44" spans="1:39" ht="21" customHeight="1" x14ac:dyDescent="0.45">
      <c r="A44" s="10" t="s">
        <v>77</v>
      </c>
      <c r="C44" s="8">
        <v>4704347</v>
      </c>
      <c r="E44" s="8">
        <v>42253072767</v>
      </c>
      <c r="G44" s="8">
        <v>87821968225</v>
      </c>
      <c r="I44" s="8"/>
      <c r="J44" s="8"/>
      <c r="K44" s="8"/>
      <c r="L44" s="8"/>
      <c r="M44" s="8"/>
      <c r="N44" s="9"/>
      <c r="O44" s="8">
        <v>4704347</v>
      </c>
      <c r="Q44" s="8">
        <v>18370</v>
      </c>
      <c r="S44" s="8">
        <v>42253072767</v>
      </c>
      <c r="U44" s="8">
        <v>85904662210</v>
      </c>
      <c r="W44" s="7">
        <f t="shared" si="0"/>
        <v>4.0265974850467352E-2</v>
      </c>
      <c r="X44" s="64" t="s">
        <v>77</v>
      </c>
      <c r="Y44" s="64"/>
      <c r="Z44" s="65">
        <v>4704347</v>
      </c>
      <c r="AA44" s="65"/>
      <c r="AB44" s="65">
        <v>18370</v>
      </c>
      <c r="AC44" s="65"/>
      <c r="AD44" s="65">
        <v>42253072767</v>
      </c>
      <c r="AE44" s="65"/>
      <c r="AF44" s="65">
        <v>85904662210</v>
      </c>
      <c r="AG44" s="59" t="b">
        <f t="shared" si="1"/>
        <v>1</v>
      </c>
      <c r="AH44" s="68">
        <f t="shared" si="2"/>
        <v>0</v>
      </c>
      <c r="AK44" s="10"/>
    </row>
    <row r="45" spans="1:39" ht="21" customHeight="1" x14ac:dyDescent="0.45">
      <c r="A45" s="10" t="s">
        <v>76</v>
      </c>
      <c r="C45" s="8">
        <v>20965710</v>
      </c>
      <c r="E45" s="8">
        <v>110653898812</v>
      </c>
      <c r="G45" s="8">
        <v>147137206023</v>
      </c>
      <c r="I45" s="8"/>
      <c r="J45" s="8"/>
      <c r="K45" s="8"/>
      <c r="L45" s="8"/>
      <c r="M45" s="8"/>
      <c r="N45" s="59"/>
      <c r="O45" s="8">
        <v>20965710</v>
      </c>
      <c r="Q45" s="8">
        <v>7070</v>
      </c>
      <c r="S45" s="8">
        <v>110653898812</v>
      </c>
      <c r="U45" s="8">
        <v>147345615663</v>
      </c>
      <c r="W45" s="7">
        <f t="shared" si="0"/>
        <v>6.9065108947280573E-2</v>
      </c>
      <c r="X45" s="64" t="s">
        <v>76</v>
      </c>
      <c r="Y45" s="64"/>
      <c r="Z45" s="65">
        <v>20965710</v>
      </c>
      <c r="AA45" s="65"/>
      <c r="AB45" s="65">
        <v>7070</v>
      </c>
      <c r="AC45" s="65"/>
      <c r="AD45" s="65">
        <v>110653898812</v>
      </c>
      <c r="AE45" s="65"/>
      <c r="AF45" s="65">
        <v>147345615663</v>
      </c>
      <c r="AG45" s="59" t="b">
        <f t="shared" si="1"/>
        <v>1</v>
      </c>
      <c r="AH45" s="68">
        <f t="shared" si="2"/>
        <v>0</v>
      </c>
      <c r="AK45" s="10"/>
    </row>
    <row r="46" spans="1:39" ht="21" customHeight="1" x14ac:dyDescent="0.45">
      <c r="A46" s="10" t="s">
        <v>78</v>
      </c>
      <c r="C46" s="8">
        <v>2147553</v>
      </c>
      <c r="E46" s="8">
        <v>40641741878</v>
      </c>
      <c r="G46" s="8">
        <v>58556879890</v>
      </c>
      <c r="I46" s="8"/>
      <c r="J46" s="8"/>
      <c r="K46" s="8"/>
      <c r="L46" s="8"/>
      <c r="M46" s="8"/>
      <c r="N46" s="9"/>
      <c r="O46" s="8">
        <v>2147553</v>
      </c>
      <c r="Q46" s="8">
        <v>23570</v>
      </c>
      <c r="S46" s="8">
        <v>40641741878</v>
      </c>
      <c r="U46" s="8">
        <v>50316648160</v>
      </c>
      <c r="W46" s="7">
        <f t="shared" si="0"/>
        <v>2.3584853688354598E-2</v>
      </c>
      <c r="X46" s="64" t="s">
        <v>78</v>
      </c>
      <c r="Y46" s="64"/>
      <c r="Z46" s="65">
        <v>2147553</v>
      </c>
      <c r="AA46" s="65"/>
      <c r="AB46" s="65">
        <v>23570</v>
      </c>
      <c r="AC46" s="65"/>
      <c r="AD46" s="65">
        <v>40641741878</v>
      </c>
      <c r="AE46" s="65"/>
      <c r="AF46" s="65">
        <v>50316648160</v>
      </c>
      <c r="AG46" s="59" t="b">
        <f t="shared" si="1"/>
        <v>1</v>
      </c>
      <c r="AH46" s="68">
        <f t="shared" si="2"/>
        <v>0</v>
      </c>
      <c r="AK46" s="10"/>
    </row>
    <row r="47" spans="1:39" ht="21" customHeight="1" x14ac:dyDescent="0.45">
      <c r="A47" s="10" t="s">
        <v>192</v>
      </c>
      <c r="C47" s="8">
        <v>2616585</v>
      </c>
      <c r="E47" s="8">
        <v>7583348102</v>
      </c>
      <c r="G47" s="8">
        <v>6962920691</v>
      </c>
      <c r="I47" s="8"/>
      <c r="J47" s="8"/>
      <c r="K47" s="8"/>
      <c r="L47" s="8"/>
      <c r="M47" s="8"/>
      <c r="N47" s="9"/>
      <c r="O47" s="8">
        <v>2616585</v>
      </c>
      <c r="Q47" s="8">
        <v>1720</v>
      </c>
      <c r="S47" s="8">
        <v>7583348102</v>
      </c>
      <c r="U47" s="8">
        <f>7583348102-3109600029</f>
        <v>4473748073</v>
      </c>
      <c r="W47" s="7">
        <f t="shared" si="0"/>
        <v>2.096973816792158E-3</v>
      </c>
      <c r="X47" s="64"/>
      <c r="Y47" s="64"/>
      <c r="Z47" s="65"/>
      <c r="AA47" s="65"/>
      <c r="AB47" s="65"/>
      <c r="AC47" s="65"/>
      <c r="AD47" s="65"/>
      <c r="AE47" s="65"/>
      <c r="AF47" s="65"/>
      <c r="AG47" s="59" t="b">
        <f t="shared" si="1"/>
        <v>0</v>
      </c>
      <c r="AH47" s="68">
        <f t="shared" si="2"/>
        <v>-2616585</v>
      </c>
      <c r="AK47" s="10"/>
    </row>
    <row r="48" spans="1:39" ht="21" customHeight="1" x14ac:dyDescent="0.45">
      <c r="A48" s="10" t="s">
        <v>191</v>
      </c>
      <c r="C48" s="8">
        <v>8258064</v>
      </c>
      <c r="E48" s="8">
        <v>34062317908</v>
      </c>
      <c r="G48" s="8">
        <v>45395374715</v>
      </c>
      <c r="I48" s="8"/>
      <c r="J48" s="8"/>
      <c r="K48" s="8"/>
      <c r="L48" s="8"/>
      <c r="M48" s="8"/>
      <c r="N48" s="9"/>
      <c r="O48" s="8">
        <v>8258064</v>
      </c>
      <c r="Q48" s="8">
        <v>5409</v>
      </c>
      <c r="S48" s="8">
        <v>34062317908</v>
      </c>
      <c r="U48" s="8">
        <f>34062317908+10594253239</f>
        <v>44656571147</v>
      </c>
      <c r="W48" s="7">
        <f t="shared" si="0"/>
        <v>2.0931813529718877E-2</v>
      </c>
      <c r="AG48" s="59" t="b">
        <f t="shared" si="1"/>
        <v>0</v>
      </c>
      <c r="AH48" s="68">
        <f t="shared" si="2"/>
        <v>-8258064</v>
      </c>
      <c r="AK48" s="10"/>
    </row>
    <row r="49" spans="1:39" ht="21" customHeight="1" x14ac:dyDescent="0.45">
      <c r="A49" s="10" t="s">
        <v>65</v>
      </c>
      <c r="C49" s="8">
        <v>33760598</v>
      </c>
      <c r="E49" s="8">
        <v>128597369601</v>
      </c>
      <c r="G49" s="8">
        <v>190619223474</v>
      </c>
      <c r="I49" s="8"/>
      <c r="J49" s="8"/>
      <c r="K49" s="8"/>
      <c r="L49" s="8"/>
      <c r="M49" s="8"/>
      <c r="N49" s="59"/>
      <c r="O49" s="8">
        <v>33760598</v>
      </c>
      <c r="Q49" s="8">
        <v>5460</v>
      </c>
      <c r="S49" s="8">
        <v>128597369601</v>
      </c>
      <c r="U49" s="8">
        <v>183236084537</v>
      </c>
      <c r="W49" s="7">
        <f t="shared" si="0"/>
        <v>8.5887999345465926E-2</v>
      </c>
      <c r="X49" s="64" t="s">
        <v>172</v>
      </c>
      <c r="Y49" s="64"/>
      <c r="Z49" s="65">
        <v>33760598</v>
      </c>
      <c r="AA49" s="65"/>
      <c r="AB49" s="65">
        <v>5460</v>
      </c>
      <c r="AC49" s="65"/>
      <c r="AD49" s="65">
        <v>128597369601</v>
      </c>
      <c r="AE49" s="65"/>
      <c r="AF49" s="65">
        <v>183236084537</v>
      </c>
      <c r="AG49" s="59" t="b">
        <f t="shared" si="1"/>
        <v>0</v>
      </c>
      <c r="AH49" s="68">
        <f t="shared" si="2"/>
        <v>0</v>
      </c>
      <c r="AK49" s="10"/>
    </row>
    <row r="50" spans="1:39" s="59" customFormat="1" ht="21" customHeight="1" x14ac:dyDescent="0.45">
      <c r="A50" s="10" t="s">
        <v>90</v>
      </c>
      <c r="C50" s="8"/>
      <c r="E50" s="8"/>
      <c r="G50" s="8"/>
      <c r="I50" s="8">
        <v>400000</v>
      </c>
      <c r="J50" s="8">
        <v>58885595156</v>
      </c>
      <c r="K50" s="8"/>
      <c r="L50" s="8"/>
      <c r="M50" s="8"/>
      <c r="O50" s="8">
        <v>400000</v>
      </c>
      <c r="Q50" s="8">
        <v>135790</v>
      </c>
      <c r="S50" s="8">
        <v>58885595157</v>
      </c>
      <c r="U50" s="8">
        <v>53992819800</v>
      </c>
      <c r="W50" s="7">
        <f t="shared" ref="W50:W60" si="3">U50/$Z$4</f>
        <v>2.5307980594323737E-2</v>
      </c>
      <c r="X50" s="64" t="s">
        <v>162</v>
      </c>
      <c r="Y50" s="64"/>
      <c r="Z50" s="65">
        <v>400000</v>
      </c>
      <c r="AA50" s="65"/>
      <c r="AB50" s="65">
        <v>135790</v>
      </c>
      <c r="AC50" s="65"/>
      <c r="AD50" s="65">
        <v>58885595157</v>
      </c>
      <c r="AE50" s="65"/>
      <c r="AF50" s="65">
        <v>53992819800</v>
      </c>
      <c r="AG50" s="59" t="b">
        <f t="shared" si="1"/>
        <v>0</v>
      </c>
      <c r="AH50" s="68">
        <f t="shared" si="2"/>
        <v>0</v>
      </c>
      <c r="AK50" s="10"/>
      <c r="AL50" s="1"/>
      <c r="AM50" s="1"/>
    </row>
    <row r="51" spans="1:39" s="59" customFormat="1" ht="21" customHeight="1" x14ac:dyDescent="0.45">
      <c r="A51" s="10" t="s">
        <v>177</v>
      </c>
      <c r="C51" s="8"/>
      <c r="E51" s="8"/>
      <c r="G51" s="8"/>
      <c r="I51" s="8">
        <v>800000</v>
      </c>
      <c r="J51" s="8">
        <v>29485787063</v>
      </c>
      <c r="K51" s="8"/>
      <c r="L51" s="8"/>
      <c r="M51" s="8"/>
      <c r="O51" s="8">
        <v>800000</v>
      </c>
      <c r="Q51" s="8">
        <v>34200</v>
      </c>
      <c r="S51" s="8">
        <v>29485787063</v>
      </c>
      <c r="U51" s="8">
        <v>27197208000</v>
      </c>
      <c r="W51" s="7">
        <f t="shared" si="3"/>
        <v>1.2748110116000763E-2</v>
      </c>
      <c r="X51" s="64" t="s">
        <v>163</v>
      </c>
      <c r="Y51" s="64"/>
      <c r="Z51" s="65">
        <v>800000</v>
      </c>
      <c r="AA51" s="65"/>
      <c r="AB51" s="65">
        <v>34200</v>
      </c>
      <c r="AC51" s="65"/>
      <c r="AD51" s="65">
        <v>29485787063</v>
      </c>
      <c r="AE51" s="65"/>
      <c r="AF51" s="65">
        <v>27197208000</v>
      </c>
      <c r="AG51" s="59" t="b">
        <f t="shared" si="1"/>
        <v>0</v>
      </c>
      <c r="AH51" s="68">
        <f t="shared" si="2"/>
        <v>0</v>
      </c>
    </row>
    <row r="52" spans="1:39" s="59" customFormat="1" ht="21" customHeight="1" x14ac:dyDescent="0.45">
      <c r="A52" s="10" t="s">
        <v>179</v>
      </c>
      <c r="C52" s="8"/>
      <c r="E52" s="8"/>
      <c r="G52" s="8"/>
      <c r="I52" s="8">
        <v>360000</v>
      </c>
      <c r="J52" s="8">
        <v>50205347242</v>
      </c>
      <c r="K52" s="8"/>
      <c r="L52" s="8"/>
      <c r="M52" s="8"/>
      <c r="O52" s="8">
        <v>360000</v>
      </c>
      <c r="Q52" s="8">
        <v>110140</v>
      </c>
      <c r="S52" s="8">
        <v>50205347242</v>
      </c>
      <c r="U52" s="8">
        <v>39414480121</v>
      </c>
      <c r="W52" s="7">
        <f t="shared" si="3"/>
        <v>1.8474695371209833E-2</v>
      </c>
      <c r="X52" s="64" t="s">
        <v>164</v>
      </c>
      <c r="Y52" s="64"/>
      <c r="Z52" s="65">
        <v>360000</v>
      </c>
      <c r="AA52" s="65"/>
      <c r="AB52" s="65">
        <v>110140</v>
      </c>
      <c r="AC52" s="65"/>
      <c r="AD52" s="65">
        <v>50205347242</v>
      </c>
      <c r="AE52" s="65"/>
      <c r="AF52" s="65">
        <v>39414480121</v>
      </c>
      <c r="AG52" s="59" t="b">
        <f t="shared" si="1"/>
        <v>0</v>
      </c>
      <c r="AH52" s="68">
        <f t="shared" si="2"/>
        <v>0</v>
      </c>
    </row>
    <row r="53" spans="1:39" s="59" customFormat="1" ht="21" customHeight="1" x14ac:dyDescent="0.45">
      <c r="A53" s="10" t="s">
        <v>178</v>
      </c>
      <c r="C53" s="8"/>
      <c r="E53" s="8"/>
      <c r="G53" s="8"/>
      <c r="I53" s="8">
        <v>3000000</v>
      </c>
      <c r="J53" s="8">
        <v>21837613502</v>
      </c>
      <c r="K53" s="8"/>
      <c r="L53" s="8"/>
      <c r="M53" s="8"/>
      <c r="O53" s="8">
        <v>3000000</v>
      </c>
      <c r="Q53" s="8">
        <v>6500</v>
      </c>
      <c r="S53" s="8">
        <v>21837613502</v>
      </c>
      <c r="U53" s="8">
        <v>19383975000</v>
      </c>
      <c r="W53" s="7">
        <f t="shared" si="3"/>
        <v>9.0858240958338766E-3</v>
      </c>
      <c r="X53" s="64" t="s">
        <v>165</v>
      </c>
      <c r="Y53" s="64"/>
      <c r="Z53" s="65">
        <v>3000000</v>
      </c>
      <c r="AA53" s="65"/>
      <c r="AB53" s="65">
        <v>6500</v>
      </c>
      <c r="AC53" s="65"/>
      <c r="AD53" s="65">
        <v>21837613502</v>
      </c>
      <c r="AE53" s="65"/>
      <c r="AF53" s="65">
        <v>19383975000</v>
      </c>
      <c r="AG53" s="59" t="b">
        <f t="shared" si="1"/>
        <v>0</v>
      </c>
      <c r="AH53" s="68">
        <f t="shared" si="2"/>
        <v>0</v>
      </c>
    </row>
    <row r="54" spans="1:39" s="59" customFormat="1" ht="21" customHeight="1" x14ac:dyDescent="0.45">
      <c r="A54" s="10" t="s">
        <v>175</v>
      </c>
      <c r="C54" s="8"/>
      <c r="E54" s="8"/>
      <c r="G54" s="8"/>
      <c r="I54" s="8">
        <v>270000</v>
      </c>
      <c r="J54" s="8">
        <v>19388745026</v>
      </c>
      <c r="K54" s="8"/>
      <c r="L54" s="8"/>
      <c r="M54" s="8"/>
      <c r="O54" s="8">
        <v>270000</v>
      </c>
      <c r="Q54" s="8">
        <v>66500</v>
      </c>
      <c r="S54" s="8">
        <v>19388745027</v>
      </c>
      <c r="U54" s="8">
        <v>17848167750</v>
      </c>
      <c r="W54" s="7">
        <f t="shared" si="3"/>
        <v>8.3659472636255002E-3</v>
      </c>
      <c r="X54" s="64" t="s">
        <v>166</v>
      </c>
      <c r="Y54" s="64"/>
      <c r="Z54" s="65">
        <v>270000</v>
      </c>
      <c r="AA54" s="65"/>
      <c r="AB54" s="65">
        <v>66500</v>
      </c>
      <c r="AC54" s="65"/>
      <c r="AD54" s="65">
        <v>19388745027</v>
      </c>
      <c r="AE54" s="65"/>
      <c r="AF54" s="65">
        <v>17848167750</v>
      </c>
      <c r="AG54" s="59" t="b">
        <f t="shared" si="1"/>
        <v>0</v>
      </c>
      <c r="AH54" s="68">
        <f t="shared" si="2"/>
        <v>0</v>
      </c>
    </row>
    <row r="55" spans="1:39" s="59" customFormat="1" ht="21" customHeight="1" x14ac:dyDescent="0.45">
      <c r="A55" s="10" t="s">
        <v>83</v>
      </c>
      <c r="C55" s="8"/>
      <c r="E55" s="8"/>
      <c r="G55" s="8"/>
      <c r="I55" s="8">
        <v>4664026</v>
      </c>
      <c r="J55" s="8">
        <v>54238257865</v>
      </c>
      <c r="K55" s="8"/>
      <c r="L55" s="8"/>
      <c r="M55" s="8"/>
      <c r="O55" s="8">
        <v>4664026</v>
      </c>
      <c r="Q55" s="8">
        <v>11610</v>
      </c>
      <c r="S55" s="8">
        <v>54238257887</v>
      </c>
      <c r="U55" s="8">
        <v>53827153279</v>
      </c>
      <c r="W55" s="7">
        <f t="shared" si="3"/>
        <v>2.5230327952470103E-2</v>
      </c>
      <c r="X55" s="64" t="s">
        <v>167</v>
      </c>
      <c r="Y55" s="64"/>
      <c r="Z55" s="65">
        <v>4664026</v>
      </c>
      <c r="AA55" s="65"/>
      <c r="AB55" s="65">
        <v>11610</v>
      </c>
      <c r="AC55" s="65"/>
      <c r="AD55" s="65">
        <v>54238257887</v>
      </c>
      <c r="AE55" s="65"/>
      <c r="AF55" s="65">
        <v>53827153279</v>
      </c>
      <c r="AG55" s="59" t="b">
        <f t="shared" si="1"/>
        <v>0</v>
      </c>
      <c r="AH55" s="68">
        <f t="shared" si="2"/>
        <v>0</v>
      </c>
    </row>
    <row r="56" spans="1:39" s="59" customFormat="1" ht="21" customHeight="1" x14ac:dyDescent="0.45">
      <c r="A56" s="10" t="s">
        <v>193</v>
      </c>
      <c r="C56" s="8"/>
      <c r="E56" s="8"/>
      <c r="G56" s="8"/>
      <c r="I56" s="8"/>
      <c r="J56" s="8"/>
      <c r="K56" s="8"/>
      <c r="L56" s="8"/>
      <c r="M56" s="8"/>
      <c r="O56" s="8">
        <v>2518426</v>
      </c>
      <c r="Q56" s="8">
        <v>28950</v>
      </c>
      <c r="S56" s="8">
        <v>57397775772</v>
      </c>
      <c r="U56" s="8">
        <v>72474627531</v>
      </c>
      <c r="W56" s="7">
        <f t="shared" si="3"/>
        <v>3.3970933059795275E-2</v>
      </c>
      <c r="X56" s="64" t="s">
        <v>168</v>
      </c>
      <c r="Y56" s="64"/>
      <c r="Z56" s="65">
        <v>2518426</v>
      </c>
      <c r="AA56" s="65"/>
      <c r="AB56" s="65">
        <v>28950</v>
      </c>
      <c r="AC56" s="65"/>
      <c r="AD56" s="65">
        <v>57397775772</v>
      </c>
      <c r="AE56" s="65"/>
      <c r="AF56" s="65">
        <v>72474627531</v>
      </c>
      <c r="AG56" s="59" t="b">
        <f t="shared" si="1"/>
        <v>0</v>
      </c>
      <c r="AH56" s="68">
        <f t="shared" si="2"/>
        <v>0</v>
      </c>
    </row>
    <row r="57" spans="1:39" s="59" customFormat="1" ht="21" customHeight="1" x14ac:dyDescent="0.45">
      <c r="A57" s="10" t="s">
        <v>176</v>
      </c>
      <c r="C57" s="8"/>
      <c r="E57" s="8"/>
      <c r="G57" s="8"/>
      <c r="I57" s="8">
        <v>250000</v>
      </c>
      <c r="J57" s="8">
        <v>10130780330</v>
      </c>
      <c r="K57" s="8"/>
      <c r="L57" s="8"/>
      <c r="M57" s="8"/>
      <c r="O57" s="8">
        <v>250000</v>
      </c>
      <c r="Q57" s="8">
        <v>33160</v>
      </c>
      <c r="S57" s="8">
        <v>10130780330</v>
      </c>
      <c r="U57" s="8">
        <v>8240674500</v>
      </c>
      <c r="W57" s="7">
        <f t="shared" si="3"/>
        <v>3.8626400899724536E-3</v>
      </c>
      <c r="X57" s="64" t="s">
        <v>169</v>
      </c>
      <c r="Y57" s="64"/>
      <c r="Z57" s="65">
        <v>250000</v>
      </c>
      <c r="AA57" s="65"/>
      <c r="AB57" s="65">
        <v>33160</v>
      </c>
      <c r="AC57" s="65"/>
      <c r="AD57" s="65">
        <v>10130780330</v>
      </c>
      <c r="AE57" s="65"/>
      <c r="AF57" s="65">
        <v>8240674500</v>
      </c>
      <c r="AG57" s="59" t="b">
        <f t="shared" si="1"/>
        <v>0</v>
      </c>
      <c r="AH57" s="68">
        <f t="shared" si="2"/>
        <v>0</v>
      </c>
    </row>
    <row r="58" spans="1:39" s="59" customFormat="1" ht="21" customHeight="1" x14ac:dyDescent="0.45">
      <c r="A58" s="10" t="s">
        <v>174</v>
      </c>
      <c r="C58" s="8"/>
      <c r="E58" s="8"/>
      <c r="G58" s="8"/>
      <c r="I58" s="8">
        <v>1121634</v>
      </c>
      <c r="J58" s="8">
        <v>10605512729</v>
      </c>
      <c r="K58" s="8"/>
      <c r="L58" s="8"/>
      <c r="M58" s="8"/>
      <c r="O58" s="8">
        <v>1121634</v>
      </c>
      <c r="Q58" s="8">
        <v>9420</v>
      </c>
      <c r="S58" s="8">
        <v>10605512729</v>
      </c>
      <c r="U58" s="8">
        <v>10502925820</v>
      </c>
      <c r="W58" s="7">
        <f t="shared" si="3"/>
        <v>4.9230220577622386E-3</v>
      </c>
      <c r="X58" s="64" t="s">
        <v>173</v>
      </c>
      <c r="Y58" s="64"/>
      <c r="Z58" s="65">
        <v>1121634</v>
      </c>
      <c r="AA58" s="65"/>
      <c r="AB58" s="65">
        <v>9420</v>
      </c>
      <c r="AC58" s="65"/>
      <c r="AD58" s="65">
        <v>10605512729</v>
      </c>
      <c r="AE58" s="65"/>
      <c r="AF58" s="65">
        <v>10502925820</v>
      </c>
      <c r="AG58" s="59" t="b">
        <f t="shared" si="1"/>
        <v>0</v>
      </c>
      <c r="AH58" s="68">
        <f t="shared" si="2"/>
        <v>0</v>
      </c>
    </row>
    <row r="59" spans="1:39" s="59" customFormat="1" ht="21" customHeight="1" x14ac:dyDescent="0.45">
      <c r="A59" s="10" t="s">
        <v>160</v>
      </c>
      <c r="C59" s="8"/>
      <c r="E59" s="8"/>
      <c r="G59" s="8"/>
      <c r="I59" s="8">
        <v>2000000</v>
      </c>
      <c r="J59" s="8">
        <v>11155342516</v>
      </c>
      <c r="K59" s="8"/>
      <c r="L59" s="8"/>
      <c r="M59" s="8"/>
      <c r="O59" s="8">
        <v>2000000</v>
      </c>
      <c r="Q59" s="8">
        <v>5280</v>
      </c>
      <c r="S59" s="8">
        <v>11155342516</v>
      </c>
      <c r="U59" s="8">
        <v>10497168000</v>
      </c>
      <c r="W59" s="7">
        <f t="shared" si="3"/>
        <v>4.9203232026669612E-3</v>
      </c>
      <c r="X59" s="64" t="s">
        <v>160</v>
      </c>
      <c r="Y59" s="64"/>
      <c r="Z59" s="65">
        <v>2000000</v>
      </c>
      <c r="AA59" s="65"/>
      <c r="AB59" s="65">
        <v>5280</v>
      </c>
      <c r="AC59" s="65"/>
      <c r="AD59" s="65">
        <v>11155342516</v>
      </c>
      <c r="AE59" s="65"/>
      <c r="AF59" s="65">
        <v>10497168000</v>
      </c>
      <c r="AG59" s="59" t="b">
        <f t="shared" si="1"/>
        <v>1</v>
      </c>
      <c r="AH59" s="68">
        <f t="shared" si="2"/>
        <v>0</v>
      </c>
    </row>
    <row r="60" spans="1:39" s="59" customFormat="1" ht="21" customHeight="1" x14ac:dyDescent="0.45">
      <c r="A60" s="10" t="s">
        <v>161</v>
      </c>
      <c r="C60" s="8"/>
      <c r="E60" s="8"/>
      <c r="G60" s="8"/>
      <c r="I60" s="8">
        <v>1894221</v>
      </c>
      <c r="J60" s="8">
        <v>48793493516</v>
      </c>
      <c r="K60" s="8"/>
      <c r="L60" s="8"/>
      <c r="M60" s="8"/>
      <c r="O60" s="8">
        <v>1894221</v>
      </c>
      <c r="Q60" s="8">
        <v>25910</v>
      </c>
      <c r="S60" s="8">
        <v>48793493516</v>
      </c>
      <c r="U60" s="8">
        <v>48787244481</v>
      </c>
      <c r="W60" s="7">
        <f t="shared" si="3"/>
        <v>2.2867978393224721E-2</v>
      </c>
      <c r="X60" s="64" t="s">
        <v>161</v>
      </c>
      <c r="Y60" s="64"/>
      <c r="Z60" s="65">
        <v>1894221</v>
      </c>
      <c r="AA60" s="65"/>
      <c r="AB60" s="65">
        <v>25910</v>
      </c>
      <c r="AC60" s="65"/>
      <c r="AD60" s="65">
        <v>48793493516</v>
      </c>
      <c r="AE60" s="65"/>
      <c r="AF60" s="65">
        <v>48787244481</v>
      </c>
      <c r="AG60" s="59" t="b">
        <f t="shared" si="1"/>
        <v>1</v>
      </c>
      <c r="AH60" s="68">
        <f t="shared" si="2"/>
        <v>0</v>
      </c>
      <c r="AK60" s="1"/>
      <c r="AL60" s="1"/>
      <c r="AM60" s="1"/>
    </row>
    <row r="61" spans="1:39" ht="24" customHeight="1" thickBot="1" x14ac:dyDescent="0.5">
      <c r="A61" s="6" t="s">
        <v>1</v>
      </c>
      <c r="C61" s="66"/>
      <c r="E61" s="5">
        <f>SUM(E8:E49)</f>
        <v>1631245927025</v>
      </c>
      <c r="G61" s="5">
        <f>SUM(G8:G49)</f>
        <v>2092091229996</v>
      </c>
      <c r="I61" s="66"/>
      <c r="J61" s="5">
        <f>SUM(J8:J60)</f>
        <v>332290836091</v>
      </c>
      <c r="L61" s="66"/>
      <c r="M61" s="5">
        <f>SUM(M8:M49)</f>
        <v>397356555544</v>
      </c>
      <c r="O61" s="66"/>
      <c r="P61" s="67"/>
      <c r="Q61" s="66"/>
      <c r="S61" s="5">
        <f>SUM(S8:S60)</f>
        <v>1665295614669</v>
      </c>
      <c r="U61" s="5">
        <f>SUM(U8:U60)</f>
        <v>1890305556319</v>
      </c>
      <c r="W61" s="4">
        <f>SUM(W8:W60)</f>
        <v>0.88604033858338327</v>
      </c>
      <c r="Y61" s="1"/>
      <c r="AG61" s="59"/>
      <c r="AK61" s="12"/>
      <c r="AL61" s="12"/>
      <c r="AM61" s="12"/>
    </row>
    <row r="62" spans="1:39" s="12" customFormat="1" ht="18.75" thickTop="1" x14ac:dyDescent="0.45">
      <c r="I62" s="26"/>
      <c r="O62" s="13"/>
      <c r="U62" s="57"/>
      <c r="AG62" s="59"/>
    </row>
    <row r="63" spans="1:39" s="12" customFormat="1" x14ac:dyDescent="0.45">
      <c r="G63" s="13"/>
      <c r="I63" s="26"/>
      <c r="O63" s="13"/>
      <c r="U63" s="13"/>
      <c r="AG63" s="59"/>
    </row>
    <row r="64" spans="1:39" s="12" customFormat="1" x14ac:dyDescent="0.45">
      <c r="G64" s="13"/>
      <c r="I64" s="26"/>
      <c r="S64" s="57"/>
      <c r="U64" s="13"/>
      <c r="AG64" s="59"/>
    </row>
    <row r="65" spans="7:39" s="12" customFormat="1" x14ac:dyDescent="0.45">
      <c r="G65" s="13"/>
      <c r="I65" s="26"/>
      <c r="O65" s="13"/>
      <c r="U65" s="13"/>
      <c r="AG65" s="59"/>
    </row>
    <row r="66" spans="7:39" s="12" customFormat="1" x14ac:dyDescent="0.45">
      <c r="G66" s="13"/>
      <c r="I66" s="27"/>
      <c r="U66" s="13"/>
      <c r="AG66" s="59"/>
      <c r="AK66" s="1"/>
      <c r="AL66" s="1"/>
      <c r="AM66" s="1"/>
    </row>
    <row r="67" spans="7:39" x14ac:dyDescent="0.45">
      <c r="Y67" s="1"/>
      <c r="AG67" s="59"/>
    </row>
    <row r="68" spans="7:39" x14ac:dyDescent="0.45">
      <c r="Y68" s="1"/>
      <c r="AG68" s="59"/>
    </row>
    <row r="69" spans="7:39" x14ac:dyDescent="0.45">
      <c r="Y69" s="1"/>
      <c r="AG69" s="59"/>
    </row>
    <row r="70" spans="7:39" x14ac:dyDescent="0.45">
      <c r="Y70" s="1"/>
      <c r="AG70" s="12"/>
    </row>
    <row r="71" spans="7:39" x14ac:dyDescent="0.45">
      <c r="X71" s="17"/>
      <c r="Y71" s="17"/>
    </row>
    <row r="72" spans="7:39" x14ac:dyDescent="0.45">
      <c r="X72" s="17"/>
      <c r="Y72" s="17"/>
    </row>
    <row r="73" spans="7:39" x14ac:dyDescent="0.45">
      <c r="X73" s="17"/>
      <c r="Y73" s="17"/>
    </row>
    <row r="74" spans="7:39" x14ac:dyDescent="0.45">
      <c r="X74" s="17"/>
      <c r="Y74" s="17"/>
      <c r="Z74" s="12"/>
      <c r="AA74" s="12"/>
      <c r="AB74" s="12"/>
      <c r="AC74" s="12"/>
      <c r="AD74" s="12"/>
      <c r="AE74" s="12"/>
      <c r="AF74" s="12"/>
    </row>
    <row r="75" spans="7:39" x14ac:dyDescent="0.45">
      <c r="X75" s="17"/>
      <c r="Y75" s="17"/>
      <c r="Z75" s="12"/>
      <c r="AA75" s="12"/>
      <c r="AB75" s="12"/>
      <c r="AC75" s="12"/>
      <c r="AD75" s="12"/>
      <c r="AE75" s="12"/>
      <c r="AF75" s="12"/>
    </row>
    <row r="76" spans="7:39" x14ac:dyDescent="0.45">
      <c r="X76" s="17"/>
      <c r="Y76" s="17"/>
      <c r="Z76" s="12"/>
      <c r="AA76" s="12"/>
      <c r="AB76" s="12"/>
      <c r="AC76" s="12"/>
      <c r="AD76" s="12"/>
      <c r="AE76" s="12"/>
      <c r="AF76" s="12"/>
    </row>
    <row r="77" spans="7:39" x14ac:dyDescent="0.45">
      <c r="X77" s="17"/>
      <c r="Y77" s="17"/>
      <c r="Z77" s="12"/>
      <c r="AA77" s="12"/>
      <c r="AB77" s="12"/>
      <c r="AC77" s="12"/>
      <c r="AD77" s="12"/>
      <c r="AE77" s="12"/>
      <c r="AF77" s="12"/>
    </row>
    <row r="78" spans="7:39" x14ac:dyDescent="0.45">
      <c r="X78" s="17"/>
      <c r="Y78" s="17"/>
      <c r="Z78" s="12"/>
      <c r="AA78" s="12"/>
      <c r="AB78" s="12"/>
      <c r="AC78" s="12"/>
      <c r="AD78" s="12"/>
      <c r="AE78" s="12"/>
      <c r="AF78" s="12"/>
    </row>
    <row r="79" spans="7:39" x14ac:dyDescent="0.45">
      <c r="X79" s="17"/>
      <c r="Y79" s="17"/>
    </row>
    <row r="80" spans="7:39" x14ac:dyDescent="0.45">
      <c r="X80" s="17"/>
      <c r="Y80" s="17"/>
    </row>
    <row r="81" spans="24:25" x14ac:dyDescent="0.45">
      <c r="X81" s="17"/>
      <c r="Y81" s="17"/>
    </row>
    <row r="82" spans="24:25" x14ac:dyDescent="0.45">
      <c r="X82" s="17"/>
      <c r="Y82" s="17"/>
    </row>
    <row r="83" spans="24:25" x14ac:dyDescent="0.45">
      <c r="X83" s="17"/>
      <c r="Y83" s="17"/>
    </row>
    <row r="84" spans="24:25" x14ac:dyDescent="0.45">
      <c r="X84" s="17"/>
      <c r="Y84" s="17"/>
    </row>
    <row r="85" spans="24:25" x14ac:dyDescent="0.45">
      <c r="X85" s="17"/>
      <c r="Y85" s="17"/>
    </row>
    <row r="86" spans="24:25" x14ac:dyDescent="0.45">
      <c r="X86" s="17"/>
      <c r="Y86" s="17"/>
    </row>
    <row r="87" spans="24:25" x14ac:dyDescent="0.45">
      <c r="X87" s="17"/>
      <c r="Y87" s="17"/>
    </row>
    <row r="88" spans="24:25" x14ac:dyDescent="0.45">
      <c r="X88" s="17"/>
      <c r="Y88" s="17"/>
    </row>
  </sheetData>
  <sortState xmlns:xlrd2="http://schemas.microsoft.com/office/spreadsheetml/2017/richdata2" ref="X8:AF67">
    <sortCondition ref="X8:X67"/>
  </sortState>
  <mergeCells count="17">
    <mergeCell ref="L6:M6"/>
    <mergeCell ref="O6:O7"/>
    <mergeCell ref="Q6:Q7"/>
    <mergeCell ref="S6:S7"/>
    <mergeCell ref="U6:U7"/>
    <mergeCell ref="W6:W7"/>
    <mergeCell ref="A6:A7"/>
    <mergeCell ref="C6:C7"/>
    <mergeCell ref="E6:E7"/>
    <mergeCell ref="G6:G7"/>
    <mergeCell ref="I6:J6"/>
    <mergeCell ref="A1:W1"/>
    <mergeCell ref="A2:W2"/>
    <mergeCell ref="A3:W3"/>
    <mergeCell ref="C5:G5"/>
    <mergeCell ref="I5:M5"/>
    <mergeCell ref="O5:W5"/>
  </mergeCells>
  <pageMargins left="0.7" right="0.7" top="0.48" bottom="0.38" header="0.3" footer="0.3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BF2AD-CC87-4F3F-A2EB-14EF654F36B9}">
  <sheetPr>
    <pageSetUpPr fitToPage="1"/>
  </sheetPr>
  <dimension ref="A1:V29"/>
  <sheetViews>
    <sheetView rightToLeft="1" view="pageBreakPreview" zoomScaleNormal="100" zoomScaleSheetLayoutView="100" workbookViewId="0">
      <selection activeCell="P8" sqref="P8"/>
    </sheetView>
  </sheetViews>
  <sheetFormatPr defaultColWidth="9.125" defaultRowHeight="18" x14ac:dyDescent="0.45"/>
  <cols>
    <col min="1" max="1" width="28" style="1" customWidth="1"/>
    <col min="2" max="2" width="1.375" style="1" customWidth="1"/>
    <col min="3" max="3" width="23.875" style="1" customWidth="1"/>
    <col min="4" max="4" width="1.375" style="1" customWidth="1"/>
    <col min="5" max="5" width="9.625" style="1" bestFit="1" customWidth="1"/>
    <col min="6" max="6" width="1.375" style="1" customWidth="1"/>
    <col min="7" max="7" width="11.375" style="1" customWidth="1"/>
    <col min="8" max="9" width="1.375" style="1" customWidth="1"/>
    <col min="10" max="10" width="21.375" style="1" customWidth="1"/>
    <col min="11" max="11" width="1.375" style="1" customWidth="1"/>
    <col min="12" max="12" width="21.875" style="1" customWidth="1"/>
    <col min="13" max="13" width="1.375" style="1" customWidth="1"/>
    <col min="14" max="14" width="22.75" style="28" customWidth="1"/>
    <col min="15" max="15" width="1.375" style="1" customWidth="1"/>
    <col min="16" max="16" width="22.875" style="1" customWidth="1"/>
    <col min="17" max="17" width="1.375" style="1" customWidth="1"/>
    <col min="18" max="18" width="15.625" style="1" bestFit="1" customWidth="1"/>
    <col min="19" max="19" width="9.125" style="1"/>
    <col min="20" max="21" width="14" style="1" bestFit="1" customWidth="1"/>
    <col min="22" max="22" width="14.125" style="1" bestFit="1" customWidth="1"/>
    <col min="23" max="16384" width="9.125" style="1"/>
  </cols>
  <sheetData>
    <row r="1" spans="1:22" s="54" customFormat="1" ht="20.100000000000001" customHeight="1" x14ac:dyDescent="0.45">
      <c r="A1" s="74" t="s">
        <v>91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T1" s="55"/>
    </row>
    <row r="2" spans="1:22" ht="20.100000000000001" customHeight="1" x14ac:dyDescent="0.45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22" ht="20.100000000000001" customHeight="1" x14ac:dyDescent="0.45">
      <c r="A3" s="76" t="s">
        <v>159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5" spans="1:22" ht="21" x14ac:dyDescent="0.45">
      <c r="A5" s="86" t="s">
        <v>136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7" spans="1:22" ht="21" x14ac:dyDescent="0.45">
      <c r="C7" s="78" t="s">
        <v>14</v>
      </c>
      <c r="D7" s="79"/>
      <c r="E7" s="79"/>
      <c r="F7" s="79"/>
      <c r="G7" s="79"/>
      <c r="H7" s="79"/>
      <c r="J7" s="14" t="s">
        <v>122</v>
      </c>
      <c r="L7" s="78" t="s">
        <v>11</v>
      </c>
      <c r="M7" s="79"/>
      <c r="N7" s="79"/>
      <c r="P7" s="78" t="s">
        <v>202</v>
      </c>
      <c r="Q7" s="79"/>
      <c r="R7" s="79"/>
      <c r="T7" s="25"/>
    </row>
    <row r="8" spans="1:22" ht="48.75" customHeight="1" x14ac:dyDescent="0.45">
      <c r="A8" s="14" t="s">
        <v>15</v>
      </c>
      <c r="C8" s="14" t="s">
        <v>16</v>
      </c>
      <c r="E8" s="14" t="s">
        <v>17</v>
      </c>
      <c r="G8" s="15" t="s">
        <v>18</v>
      </c>
      <c r="J8" s="14" t="s">
        <v>19</v>
      </c>
      <c r="L8" s="14" t="s">
        <v>20</v>
      </c>
      <c r="N8" s="14" t="s">
        <v>21</v>
      </c>
      <c r="P8" s="14" t="s">
        <v>19</v>
      </c>
      <c r="R8" s="15" t="s">
        <v>5</v>
      </c>
    </row>
    <row r="9" spans="1:22" ht="22.5" customHeight="1" x14ac:dyDescent="0.45">
      <c r="A9" s="10" t="s">
        <v>92</v>
      </c>
      <c r="C9" s="9" t="s">
        <v>97</v>
      </c>
      <c r="E9" s="16" t="s">
        <v>22</v>
      </c>
      <c r="G9" s="9" t="s">
        <v>105</v>
      </c>
      <c r="J9" s="8">
        <v>842340</v>
      </c>
      <c r="L9" s="69">
        <v>3560</v>
      </c>
      <c r="N9" s="8">
        <v>0</v>
      </c>
      <c r="P9" s="8">
        <v>845900</v>
      </c>
      <c r="R9" s="30">
        <f>P9/سهام!Z$4</f>
        <v>3.9649755030461384E-7</v>
      </c>
      <c r="S9" s="70"/>
      <c r="T9" s="69"/>
      <c r="U9" s="69"/>
      <c r="V9" s="69"/>
    </row>
    <row r="10" spans="1:22" ht="22.5" customHeight="1" x14ac:dyDescent="0.45">
      <c r="A10" s="10" t="s">
        <v>92</v>
      </c>
      <c r="C10" s="9" t="s">
        <v>95</v>
      </c>
      <c r="E10" s="16" t="s">
        <v>24</v>
      </c>
      <c r="G10" s="9" t="s">
        <v>103</v>
      </c>
      <c r="J10" s="8">
        <v>5225000</v>
      </c>
      <c r="L10" s="69">
        <v>0</v>
      </c>
      <c r="N10" s="8">
        <v>0</v>
      </c>
      <c r="P10" s="8">
        <v>5225000</v>
      </c>
      <c r="R10" s="30">
        <f>P10/سهام!Z$4</f>
        <v>2.449107105262569E-6</v>
      </c>
      <c r="S10" s="70"/>
      <c r="T10" s="69"/>
      <c r="U10" s="69"/>
      <c r="V10" s="69"/>
    </row>
    <row r="11" spans="1:22" ht="22.5" customHeight="1" x14ac:dyDescent="0.45">
      <c r="A11" s="10" t="s">
        <v>92</v>
      </c>
      <c r="C11" s="9" t="s">
        <v>98</v>
      </c>
      <c r="E11" s="16" t="s">
        <v>22</v>
      </c>
      <c r="G11" s="9" t="s">
        <v>106</v>
      </c>
      <c r="J11" s="8">
        <v>1089222859</v>
      </c>
      <c r="L11" s="69">
        <v>53357161</v>
      </c>
      <c r="N11" s="8">
        <v>1089758734</v>
      </c>
      <c r="P11" s="8">
        <v>52821286</v>
      </c>
      <c r="R11" s="30">
        <f>P11/سهام!Z$4</f>
        <v>2.4758849158221294E-5</v>
      </c>
      <c r="S11" s="70"/>
      <c r="T11" s="69"/>
      <c r="U11" s="69"/>
      <c r="V11" s="69"/>
    </row>
    <row r="12" spans="1:22" ht="22.5" customHeight="1" x14ac:dyDescent="0.45">
      <c r="A12" s="10" t="s">
        <v>92</v>
      </c>
      <c r="C12" s="9" t="s">
        <v>96</v>
      </c>
      <c r="E12" s="16" t="s">
        <v>22</v>
      </c>
      <c r="G12" s="9" t="s">
        <v>104</v>
      </c>
      <c r="J12" s="8">
        <v>560364290</v>
      </c>
      <c r="L12" s="69">
        <v>18248819063</v>
      </c>
      <c r="N12" s="8">
        <v>18808580000</v>
      </c>
      <c r="P12" s="8">
        <v>603353</v>
      </c>
      <c r="R12" s="30">
        <f>P12/سهام!Z$4</f>
        <v>2.8280882665674388E-7</v>
      </c>
      <c r="S12" s="70"/>
      <c r="T12" s="69"/>
      <c r="U12" s="69"/>
      <c r="V12" s="69"/>
    </row>
    <row r="13" spans="1:22" ht="22.5" customHeight="1" x14ac:dyDescent="0.45">
      <c r="A13" s="10" t="s">
        <v>23</v>
      </c>
      <c r="C13" s="9" t="s">
        <v>94</v>
      </c>
      <c r="E13" s="16" t="s">
        <v>22</v>
      </c>
      <c r="G13" s="9" t="s">
        <v>102</v>
      </c>
      <c r="J13" s="8">
        <v>35542702</v>
      </c>
      <c r="L13" s="69">
        <v>416137179402</v>
      </c>
      <c r="N13" s="8">
        <v>234674684600</v>
      </c>
      <c r="P13" s="8">
        <v>181498037504</v>
      </c>
      <c r="R13" s="30">
        <f>P13/سهام!Z$4</f>
        <v>8.5073326936317445E-2</v>
      </c>
      <c r="S13" s="70"/>
      <c r="T13" s="69"/>
      <c r="U13" s="69"/>
      <c r="V13" s="69"/>
    </row>
    <row r="14" spans="1:22" ht="22.5" customHeight="1" x14ac:dyDescent="0.45">
      <c r="A14" s="10" t="s">
        <v>25</v>
      </c>
      <c r="C14" s="9" t="s">
        <v>99</v>
      </c>
      <c r="E14" s="16" t="s">
        <v>22</v>
      </c>
      <c r="G14" s="9" t="s">
        <v>38</v>
      </c>
      <c r="J14" s="8">
        <v>507860</v>
      </c>
      <c r="L14" s="69">
        <v>2157</v>
      </c>
      <c r="N14" s="8">
        <v>490000</v>
      </c>
      <c r="P14" s="8">
        <v>20017</v>
      </c>
      <c r="R14" s="30">
        <f>P14/سهام!Z$4</f>
        <v>9.3825410384767161E-9</v>
      </c>
      <c r="S14" s="70"/>
      <c r="T14" s="69"/>
      <c r="U14" s="69"/>
      <c r="V14" s="69"/>
    </row>
    <row r="15" spans="1:22" ht="22.5" customHeight="1" x14ac:dyDescent="0.45">
      <c r="A15" s="10" t="s">
        <v>93</v>
      </c>
      <c r="C15" s="9" t="s">
        <v>100</v>
      </c>
      <c r="E15" s="16" t="s">
        <v>22</v>
      </c>
      <c r="G15" s="9" t="s">
        <v>107</v>
      </c>
      <c r="J15" s="8">
        <v>20095048245</v>
      </c>
      <c r="L15" s="69">
        <v>254606356303</v>
      </c>
      <c r="N15" s="8">
        <v>264992453124</v>
      </c>
      <c r="P15" s="8">
        <v>9708951424</v>
      </c>
      <c r="R15" s="30">
        <f>P15/سهام!Z$4</f>
        <v>4.5508635248167539E-3</v>
      </c>
      <c r="S15" s="70"/>
      <c r="T15" s="69"/>
      <c r="U15" s="69"/>
      <c r="V15" s="69"/>
    </row>
    <row r="16" spans="1:22" ht="22.5" customHeight="1" x14ac:dyDescent="0.45">
      <c r="A16" s="10" t="s">
        <v>92</v>
      </c>
      <c r="C16" s="9" t="s">
        <v>101</v>
      </c>
      <c r="E16" s="16" t="s">
        <v>22</v>
      </c>
      <c r="G16" s="9" t="s">
        <v>108</v>
      </c>
      <c r="J16" s="8">
        <v>9137637</v>
      </c>
      <c r="L16" s="69">
        <v>38640</v>
      </c>
      <c r="N16" s="8">
        <v>0</v>
      </c>
      <c r="O16" s="9"/>
      <c r="P16" s="8">
        <v>9176277</v>
      </c>
      <c r="R16" s="30">
        <f>P16/سهام!Z$4</f>
        <v>4.301183770441625E-6</v>
      </c>
      <c r="S16" s="70"/>
      <c r="T16" s="69"/>
      <c r="U16" s="69"/>
      <c r="V16" s="69"/>
    </row>
    <row r="17" spans="1:22" ht="22.5" x14ac:dyDescent="0.45">
      <c r="A17" s="10" t="s">
        <v>92</v>
      </c>
      <c r="C17" s="9" t="s">
        <v>120</v>
      </c>
      <c r="E17" s="16" t="s">
        <v>24</v>
      </c>
      <c r="G17" s="9" t="s">
        <v>121</v>
      </c>
      <c r="J17" s="8">
        <v>10000000</v>
      </c>
      <c r="L17" s="69">
        <v>0</v>
      </c>
      <c r="N17" s="8">
        <v>504000</v>
      </c>
      <c r="O17" s="9"/>
      <c r="P17" s="8">
        <v>9496000</v>
      </c>
      <c r="R17" s="30">
        <f>P17/سهام!Z$4</f>
        <v>4.4510470950379628E-6</v>
      </c>
      <c r="S17" s="70"/>
      <c r="T17" s="69"/>
      <c r="U17" s="69"/>
      <c r="V17" s="69"/>
    </row>
    <row r="18" spans="1:22" ht="23.25" thickBot="1" x14ac:dyDescent="0.5">
      <c r="A18" s="6" t="s">
        <v>1</v>
      </c>
      <c r="J18" s="5">
        <f>SUM(J9:J17)</f>
        <v>21805890933</v>
      </c>
      <c r="L18" s="5">
        <f>SUM(L9:L17)</f>
        <v>689045756286</v>
      </c>
      <c r="N18" s="5">
        <f>SUM(N9:N17)</f>
        <v>519566470458</v>
      </c>
      <c r="P18" s="5">
        <f>SUM(P9:P17)</f>
        <v>191285176761</v>
      </c>
      <c r="R18" s="4">
        <f>SUM(R9:R17)</f>
        <v>8.966083933718115E-2</v>
      </c>
    </row>
    <row r="19" spans="1:22" ht="19.5" thickTop="1" x14ac:dyDescent="0.45">
      <c r="J19" s="3"/>
      <c r="L19" s="3"/>
      <c r="N19" s="3"/>
      <c r="P19" s="3"/>
      <c r="R19" s="3"/>
    </row>
    <row r="21" spans="1:22" ht="18.75" x14ac:dyDescent="0.45">
      <c r="F21" s="69">
        <v>845900</v>
      </c>
      <c r="P21" s="2"/>
    </row>
    <row r="22" spans="1:22" ht="18.75" x14ac:dyDescent="0.45">
      <c r="F22" s="69">
        <v>5225000</v>
      </c>
      <c r="P22" s="2"/>
    </row>
    <row r="23" spans="1:22" ht="18.75" x14ac:dyDescent="0.45">
      <c r="F23" s="69">
        <v>52821286</v>
      </c>
      <c r="P23" s="2"/>
    </row>
    <row r="24" spans="1:22" ht="18.75" x14ac:dyDescent="0.45">
      <c r="F24" s="69">
        <v>603353</v>
      </c>
      <c r="P24" s="2"/>
    </row>
    <row r="25" spans="1:22" ht="18.75" x14ac:dyDescent="0.45">
      <c r="F25" s="69">
        <v>181498037504</v>
      </c>
    </row>
    <row r="26" spans="1:22" ht="18.75" x14ac:dyDescent="0.45">
      <c r="F26" s="69">
        <v>20017</v>
      </c>
    </row>
    <row r="27" spans="1:22" ht="18.75" x14ac:dyDescent="0.45">
      <c r="F27" s="69">
        <v>9708951424</v>
      </c>
    </row>
    <row r="28" spans="1:22" ht="18.75" x14ac:dyDescent="0.45">
      <c r="F28" s="69">
        <v>9176277</v>
      </c>
    </row>
    <row r="29" spans="1:22" ht="18.75" x14ac:dyDescent="0.45">
      <c r="F29" s="69">
        <v>9496000</v>
      </c>
    </row>
  </sheetData>
  <mergeCells count="7">
    <mergeCell ref="A1:R1"/>
    <mergeCell ref="A2:R2"/>
    <mergeCell ref="A3:R3"/>
    <mergeCell ref="A5:R5"/>
    <mergeCell ref="C7:H7"/>
    <mergeCell ref="L7:N7"/>
    <mergeCell ref="P7:R7"/>
  </mergeCells>
  <pageMargins left="0.7" right="0.7" top="0.75" bottom="0.75" header="0.3" footer="0.3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952AB-6DA8-4019-BF74-8A59119836EC}">
  <sheetPr>
    <pageSetUpPr fitToPage="1"/>
  </sheetPr>
  <dimension ref="A1:L15"/>
  <sheetViews>
    <sheetView rightToLeft="1" view="pageBreakPreview" zoomScale="115" zoomScaleNormal="100" zoomScaleSheetLayoutView="115" workbookViewId="0">
      <selection activeCell="E12" sqref="E12"/>
    </sheetView>
  </sheetViews>
  <sheetFormatPr defaultColWidth="9.125" defaultRowHeight="18" x14ac:dyDescent="0.45"/>
  <cols>
    <col min="1" max="1" width="49.75" style="1" customWidth="1"/>
    <col min="2" max="2" width="1.375" style="1" customWidth="1"/>
    <col min="3" max="3" width="11.375" style="1" customWidth="1"/>
    <col min="4" max="4" width="1.375" style="1" customWidth="1"/>
    <col min="5" max="5" width="23.625" style="1" bestFit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0" width="9.125" style="1"/>
    <col min="11" max="11" width="18.125" style="1" customWidth="1"/>
    <col min="12" max="12" width="19.375" style="1" hidden="1" customWidth="1"/>
    <col min="13" max="16384" width="9.125" style="1"/>
  </cols>
  <sheetData>
    <row r="1" spans="1:12" s="54" customFormat="1" ht="20.100000000000001" customHeight="1" x14ac:dyDescent="0.45">
      <c r="A1" s="74" t="s">
        <v>91</v>
      </c>
      <c r="B1" s="75"/>
      <c r="C1" s="75"/>
      <c r="D1" s="75"/>
      <c r="E1" s="75"/>
      <c r="F1" s="75"/>
      <c r="G1" s="75"/>
      <c r="H1" s="75"/>
      <c r="I1" s="75"/>
    </row>
    <row r="2" spans="1:12" ht="20.100000000000001" customHeight="1" x14ac:dyDescent="0.45">
      <c r="A2" s="76" t="s">
        <v>135</v>
      </c>
      <c r="B2" s="77"/>
      <c r="C2" s="77"/>
      <c r="D2" s="77"/>
      <c r="E2" s="77"/>
      <c r="F2" s="77"/>
      <c r="G2" s="77"/>
      <c r="H2" s="77"/>
      <c r="I2" s="77"/>
    </row>
    <row r="3" spans="1:12" ht="20.100000000000001" customHeight="1" x14ac:dyDescent="0.45">
      <c r="A3" s="76" t="s">
        <v>159</v>
      </c>
      <c r="B3" s="77"/>
      <c r="C3" s="77"/>
      <c r="D3" s="77"/>
      <c r="E3" s="77"/>
      <c r="F3" s="77"/>
      <c r="G3" s="77"/>
      <c r="H3" s="77"/>
      <c r="I3" s="77"/>
    </row>
    <row r="5" spans="1:12" ht="21" x14ac:dyDescent="0.45">
      <c r="A5" s="86" t="s">
        <v>26</v>
      </c>
      <c r="B5" s="77"/>
      <c r="C5" s="77"/>
      <c r="D5" s="77"/>
      <c r="E5" s="77"/>
      <c r="F5" s="77"/>
      <c r="G5" s="77"/>
      <c r="H5" s="77"/>
      <c r="I5" s="77"/>
    </row>
    <row r="7" spans="1:12" ht="42" x14ac:dyDescent="0.45">
      <c r="A7" s="14" t="s">
        <v>27</v>
      </c>
      <c r="C7" s="14" t="s">
        <v>28</v>
      </c>
      <c r="E7" s="14" t="s">
        <v>19</v>
      </c>
      <c r="G7" s="15" t="s">
        <v>29</v>
      </c>
      <c r="I7" s="15" t="s">
        <v>30</v>
      </c>
      <c r="K7" s="2"/>
    </row>
    <row r="8" spans="1:12" ht="22.5" x14ac:dyDescent="0.45">
      <c r="A8" s="18" t="s">
        <v>31</v>
      </c>
      <c r="C8" s="9" t="s">
        <v>32</v>
      </c>
      <c r="E8" s="8">
        <f>'درآمد سرمایه گذاری در سهام '!Q64</f>
        <v>-108052228663</v>
      </c>
      <c r="G8" s="7">
        <f>E8/E11</f>
        <v>1.0021310184850467</v>
      </c>
      <c r="I8" s="7">
        <f>E8/$L$8</f>
        <v>-5.1594316384087353E-2</v>
      </c>
      <c r="K8" s="25"/>
      <c r="L8" s="25">
        <v>2094266117582</v>
      </c>
    </row>
    <row r="9" spans="1:12" ht="22.5" x14ac:dyDescent="0.45">
      <c r="A9" s="18" t="s">
        <v>33</v>
      </c>
      <c r="C9" s="9" t="s">
        <v>34</v>
      </c>
      <c r="E9" s="8">
        <f>'سود اوراق بهادار و سپرده بانکی'!O15</f>
        <v>36404430</v>
      </c>
      <c r="G9" s="7">
        <f>E9/E11</f>
        <v>-3.3763309618582645E-4</v>
      </c>
      <c r="I9" s="7">
        <f t="shared" ref="I9:I10" si="0">E9/$L$8</f>
        <v>1.7382905493420229E-5</v>
      </c>
      <c r="K9" s="25"/>
    </row>
    <row r="10" spans="1:12" ht="22.5" x14ac:dyDescent="0.45">
      <c r="A10" s="18" t="s">
        <v>35</v>
      </c>
      <c r="C10" s="9" t="s">
        <v>36</v>
      </c>
      <c r="E10" s="8">
        <f>'سایر درآمدها'!E13</f>
        <v>193367219</v>
      </c>
      <c r="G10" s="7">
        <f>E10/E11</f>
        <v>-1.7933853888609922E-3</v>
      </c>
      <c r="I10" s="7">
        <f t="shared" si="0"/>
        <v>9.2331732522731228E-5</v>
      </c>
    </row>
    <row r="11" spans="1:12" ht="23.25" thickBot="1" x14ac:dyDescent="0.5">
      <c r="A11" s="14" t="s">
        <v>1</v>
      </c>
      <c r="E11" s="5">
        <f>SUM(E8:$E$10)</f>
        <v>-107822457014</v>
      </c>
      <c r="G11" s="22">
        <f>SUM(G8:$G$10)</f>
        <v>1</v>
      </c>
      <c r="I11" s="4">
        <f>SUM(I8:I10)</f>
        <v>-5.1484601746071203E-2</v>
      </c>
    </row>
    <row r="12" spans="1:12" ht="19.5" thickTop="1" x14ac:dyDescent="0.45">
      <c r="E12" s="3"/>
      <c r="G12" s="3"/>
      <c r="I12" s="3"/>
    </row>
    <row r="13" spans="1:12" x14ac:dyDescent="0.45">
      <c r="A13" s="1" t="s">
        <v>158</v>
      </c>
    </row>
    <row r="14" spans="1:12" x14ac:dyDescent="0.45">
      <c r="E14" s="2"/>
    </row>
    <row r="15" spans="1:12" x14ac:dyDescent="0.45">
      <c r="E15" s="2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DC605-9CFB-43EC-B7F1-9D65E6FF37FB}">
  <dimension ref="A1:S32"/>
  <sheetViews>
    <sheetView rightToLeft="1" view="pageBreakPreview" zoomScale="70" zoomScaleNormal="100" zoomScaleSheetLayoutView="70" workbookViewId="0">
      <selection activeCell="K8" sqref="K8"/>
    </sheetView>
  </sheetViews>
  <sheetFormatPr defaultColWidth="9.125" defaultRowHeight="18" x14ac:dyDescent="0.45"/>
  <cols>
    <col min="1" max="1" width="35" style="28" customWidth="1"/>
    <col min="2" max="2" width="1.375" style="1" customWidth="1"/>
    <col min="3" max="3" width="18.125" style="1" bestFit="1" customWidth="1"/>
    <col min="4" max="4" width="2.375" style="1" customWidth="1"/>
    <col min="5" max="5" width="23.625" style="1" bestFit="1" customWidth="1"/>
    <col min="6" max="6" width="2.375" style="1" customWidth="1"/>
    <col min="7" max="7" width="23.625" style="1" bestFit="1" customWidth="1"/>
    <col min="8" max="8" width="1.375" style="1" customWidth="1"/>
    <col min="9" max="9" width="22" style="1" bestFit="1" customWidth="1"/>
    <col min="10" max="10" width="1.375" style="1" customWidth="1"/>
    <col min="11" max="11" width="18" style="1" bestFit="1" customWidth="1"/>
    <col min="12" max="12" width="1.375" style="1" customWidth="1"/>
    <col min="13" max="13" width="19.375" style="1" bestFit="1" customWidth="1"/>
    <col min="14" max="14" width="1.375" style="1" customWidth="1"/>
    <col min="15" max="15" width="16.75" style="1" bestFit="1" customWidth="1"/>
    <col min="16" max="16" width="1.375" style="1" customWidth="1"/>
    <col min="17" max="17" width="23.625" style="1" bestFit="1" customWidth="1"/>
    <col min="18" max="18" width="12.625" style="1" bestFit="1" customWidth="1"/>
    <col min="19" max="19" width="14" style="1" bestFit="1" customWidth="1"/>
    <col min="20" max="20" width="10" style="1" bestFit="1" customWidth="1"/>
    <col min="21" max="21" width="12.75" style="1" bestFit="1" customWidth="1"/>
    <col min="22" max="23" width="17.125" style="1" bestFit="1" customWidth="1"/>
    <col min="24" max="24" width="16.625" style="1" bestFit="1" customWidth="1"/>
    <col min="25" max="16384" width="9.125" style="1"/>
  </cols>
  <sheetData>
    <row r="1" spans="1:19" s="54" customFormat="1" ht="20.100000000000001" customHeight="1" x14ac:dyDescent="0.45">
      <c r="A1" s="74" t="s">
        <v>91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9" ht="20.100000000000001" customHeight="1" x14ac:dyDescent="0.45">
      <c r="A2" s="76" t="s">
        <v>135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9" ht="20.100000000000001" customHeight="1" x14ac:dyDescent="0.45">
      <c r="A3" s="76" t="s">
        <v>159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5" spans="1:19" ht="21" x14ac:dyDescent="0.45">
      <c r="A5" s="86" t="s">
        <v>54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7" spans="1:19" ht="21" x14ac:dyDescent="0.45">
      <c r="C7" s="78" t="s">
        <v>111</v>
      </c>
      <c r="D7" s="79"/>
      <c r="E7" s="79"/>
      <c r="F7" s="79"/>
      <c r="G7" s="79"/>
      <c r="H7" s="79"/>
      <c r="I7" s="79"/>
      <c r="K7" s="78" t="s">
        <v>202</v>
      </c>
      <c r="L7" s="79"/>
      <c r="M7" s="79"/>
      <c r="N7" s="79"/>
      <c r="O7" s="79"/>
      <c r="P7" s="79"/>
      <c r="Q7" s="79"/>
    </row>
    <row r="8" spans="1:19" ht="21" x14ac:dyDescent="0.45">
      <c r="A8" s="19" t="s">
        <v>27</v>
      </c>
      <c r="C8" s="15" t="s">
        <v>3</v>
      </c>
      <c r="E8" s="15" t="s">
        <v>6</v>
      </c>
      <c r="G8" s="15" t="s">
        <v>51</v>
      </c>
      <c r="I8" s="15" t="s">
        <v>55</v>
      </c>
      <c r="K8" s="15" t="s">
        <v>3</v>
      </c>
      <c r="M8" s="15" t="s">
        <v>6</v>
      </c>
      <c r="O8" s="15" t="s">
        <v>51</v>
      </c>
      <c r="Q8" s="15" t="s">
        <v>55</v>
      </c>
    </row>
    <row r="9" spans="1:19" ht="22.5" x14ac:dyDescent="0.45">
      <c r="A9" s="16" t="s">
        <v>180</v>
      </c>
      <c r="C9" s="8">
        <v>1475977</v>
      </c>
      <c r="E9" s="8">
        <v>48624551113</v>
      </c>
      <c r="G9" s="8">
        <v>50855368098</v>
      </c>
      <c r="I9" s="8">
        <f>E9-G9</f>
        <v>-2230816985</v>
      </c>
      <c r="J9" s="9"/>
      <c r="K9" s="8">
        <v>1475977</v>
      </c>
      <c r="L9" s="62"/>
      <c r="M9" s="8">
        <v>48624551113</v>
      </c>
      <c r="N9" s="62"/>
      <c r="O9" s="8">
        <v>50855368098</v>
      </c>
      <c r="P9" s="62"/>
      <c r="Q9" s="8">
        <f>M9-O9</f>
        <v>-2230816985</v>
      </c>
    </row>
    <row r="10" spans="1:19" ht="22.5" x14ac:dyDescent="0.45">
      <c r="A10" s="16" t="s">
        <v>181</v>
      </c>
      <c r="C10" s="8">
        <v>70247</v>
      </c>
      <c r="E10" s="8">
        <v>153204902</v>
      </c>
      <c r="G10" s="8">
        <v>66886975</v>
      </c>
      <c r="I10" s="8">
        <f t="shared" ref="I10:I19" si="0">E10-G10</f>
        <v>86317927</v>
      </c>
      <c r="J10" s="9"/>
      <c r="K10" s="8">
        <v>70247</v>
      </c>
      <c r="L10" s="62"/>
      <c r="M10" s="8">
        <v>153204902</v>
      </c>
      <c r="N10" s="62"/>
      <c r="O10" s="8">
        <v>66886975</v>
      </c>
      <c r="P10" s="62"/>
      <c r="Q10" s="8">
        <f t="shared" ref="Q10:Q19" si="1">M10-O10</f>
        <v>86317927</v>
      </c>
      <c r="S10" s="2"/>
    </row>
    <row r="11" spans="1:19" ht="22.5" x14ac:dyDescent="0.45">
      <c r="A11" s="16" t="s">
        <v>182</v>
      </c>
      <c r="C11" s="8">
        <v>271500</v>
      </c>
      <c r="D11" s="8"/>
      <c r="E11" s="8">
        <v>6785175987</v>
      </c>
      <c r="F11" s="8"/>
      <c r="G11" s="8">
        <v>6827949123</v>
      </c>
      <c r="H11" s="8"/>
      <c r="I11" s="8">
        <f t="shared" si="0"/>
        <v>-42773136</v>
      </c>
      <c r="J11" s="9"/>
      <c r="K11" s="8">
        <v>271500</v>
      </c>
      <c r="L11" s="8"/>
      <c r="M11" s="8">
        <v>6785175987</v>
      </c>
      <c r="N11" s="8"/>
      <c r="O11" s="8">
        <v>6827949123</v>
      </c>
      <c r="P11" s="8"/>
      <c r="Q11" s="8">
        <f t="shared" si="1"/>
        <v>-42773136</v>
      </c>
    </row>
    <row r="12" spans="1:19" ht="22.5" x14ac:dyDescent="0.45">
      <c r="A12" s="16" t="s">
        <v>183</v>
      </c>
      <c r="C12" s="8">
        <v>625000</v>
      </c>
      <c r="E12" s="8">
        <v>13543931419</v>
      </c>
      <c r="G12" s="8">
        <v>14146272043</v>
      </c>
      <c r="I12" s="8">
        <v>-602340624</v>
      </c>
      <c r="J12" s="9"/>
      <c r="K12" s="8">
        <v>625000</v>
      </c>
      <c r="L12" s="62"/>
      <c r="M12" s="8">
        <v>13543931419</v>
      </c>
      <c r="N12" s="62"/>
      <c r="O12" s="8">
        <f>M12-Q12</f>
        <v>14146272043</v>
      </c>
      <c r="P12" s="62"/>
      <c r="Q12" s="8">
        <v>-602340624</v>
      </c>
      <c r="R12" s="29"/>
    </row>
    <row r="13" spans="1:19" ht="22.5" x14ac:dyDescent="0.45">
      <c r="A13" s="16" t="s">
        <v>184</v>
      </c>
      <c r="C13" s="8">
        <v>9570714</v>
      </c>
      <c r="D13" s="8"/>
      <c r="E13" s="8">
        <v>72147561088</v>
      </c>
      <c r="G13" s="8">
        <v>82718488179</v>
      </c>
      <c r="H13" s="8"/>
      <c r="I13" s="8">
        <f t="shared" si="0"/>
        <v>-10570927091</v>
      </c>
      <c r="J13" s="9"/>
      <c r="K13" s="8">
        <v>9570714</v>
      </c>
      <c r="L13" s="8"/>
      <c r="M13" s="8">
        <v>72147561088</v>
      </c>
      <c r="N13" s="62"/>
      <c r="O13" s="8">
        <v>82718488179</v>
      </c>
      <c r="P13" s="8"/>
      <c r="Q13" s="8">
        <f t="shared" si="1"/>
        <v>-10570927091</v>
      </c>
    </row>
    <row r="14" spans="1:19" ht="22.5" x14ac:dyDescent="0.45">
      <c r="A14" s="16" t="s">
        <v>185</v>
      </c>
      <c r="C14" s="8">
        <v>6114932</v>
      </c>
      <c r="D14" s="8"/>
      <c r="E14" s="8">
        <v>91421364249</v>
      </c>
      <c r="G14" s="8">
        <v>93366355963</v>
      </c>
      <c r="H14" s="8"/>
      <c r="I14" s="8">
        <f t="shared" si="0"/>
        <v>-1944991714</v>
      </c>
      <c r="J14" s="9"/>
      <c r="K14" s="8">
        <v>6114932</v>
      </c>
      <c r="L14" s="8"/>
      <c r="M14" s="8">
        <v>91421364249</v>
      </c>
      <c r="N14" s="62"/>
      <c r="O14" s="8">
        <v>93366355963</v>
      </c>
      <c r="P14" s="8"/>
      <c r="Q14" s="8">
        <f t="shared" si="1"/>
        <v>-1944991714</v>
      </c>
    </row>
    <row r="15" spans="1:19" ht="22.5" x14ac:dyDescent="0.45">
      <c r="A15" s="16" t="s">
        <v>186</v>
      </c>
      <c r="C15" s="8">
        <v>1100000</v>
      </c>
      <c r="D15" s="8"/>
      <c r="E15" s="8">
        <v>33733087266</v>
      </c>
      <c r="G15" s="8">
        <v>22919062066</v>
      </c>
      <c r="H15" s="8"/>
      <c r="I15" s="8">
        <f t="shared" si="0"/>
        <v>10814025200</v>
      </c>
      <c r="J15" s="9"/>
      <c r="K15" s="8">
        <v>1100000</v>
      </c>
      <c r="L15" s="8"/>
      <c r="M15" s="8">
        <v>33733087266</v>
      </c>
      <c r="N15" s="62"/>
      <c r="O15" s="8">
        <v>22919062066</v>
      </c>
      <c r="P15" s="8"/>
      <c r="Q15" s="8">
        <f t="shared" si="1"/>
        <v>10814025200</v>
      </c>
    </row>
    <row r="16" spans="1:19" ht="22.5" x14ac:dyDescent="0.45">
      <c r="A16" s="16" t="s">
        <v>187</v>
      </c>
      <c r="C16" s="8">
        <v>30000000</v>
      </c>
      <c r="D16" s="8"/>
      <c r="E16" s="8">
        <v>53052448500</v>
      </c>
      <c r="G16" s="8">
        <v>50617570500</v>
      </c>
      <c r="H16" s="8"/>
      <c r="I16" s="8">
        <f t="shared" si="0"/>
        <v>2434878000</v>
      </c>
      <c r="K16" s="8">
        <v>30000000</v>
      </c>
      <c r="L16" s="8"/>
      <c r="M16" s="8">
        <v>53052448500</v>
      </c>
      <c r="N16" s="62"/>
      <c r="O16" s="8">
        <v>50617570500</v>
      </c>
      <c r="P16" s="8"/>
      <c r="Q16" s="8">
        <f t="shared" si="1"/>
        <v>2434878000</v>
      </c>
      <c r="S16" s="29"/>
    </row>
    <row r="17" spans="1:18" ht="22.5" x14ac:dyDescent="0.45">
      <c r="A17" s="16" t="s">
        <v>188</v>
      </c>
      <c r="C17" s="8">
        <v>230000</v>
      </c>
      <c r="D17" s="8"/>
      <c r="E17" s="8">
        <v>10183622031</v>
      </c>
      <c r="G17" s="8">
        <v>10216030909</v>
      </c>
      <c r="H17" s="8"/>
      <c r="I17" s="8">
        <f t="shared" si="0"/>
        <v>-32408878</v>
      </c>
      <c r="K17" s="8">
        <v>230000</v>
      </c>
      <c r="L17" s="8"/>
      <c r="M17" s="8">
        <v>10183622031</v>
      </c>
      <c r="N17" s="62"/>
      <c r="O17" s="8">
        <v>10216030909</v>
      </c>
      <c r="P17" s="8"/>
      <c r="Q17" s="8">
        <f t="shared" si="1"/>
        <v>-32408878</v>
      </c>
    </row>
    <row r="18" spans="1:18" ht="22.5" x14ac:dyDescent="0.45">
      <c r="A18" s="16" t="s">
        <v>189</v>
      </c>
      <c r="C18" s="8">
        <v>4500000</v>
      </c>
      <c r="D18" s="8"/>
      <c r="E18" s="8">
        <v>57343763005</v>
      </c>
      <c r="G18" s="8">
        <v>49201709004</v>
      </c>
      <c r="H18" s="8"/>
      <c r="I18" s="8">
        <f t="shared" si="0"/>
        <v>8142054001</v>
      </c>
      <c r="K18" s="8">
        <v>4500000</v>
      </c>
      <c r="L18" s="8"/>
      <c r="M18" s="8">
        <v>57343763005</v>
      </c>
      <c r="N18" s="62"/>
      <c r="O18" s="8">
        <v>49201709004</v>
      </c>
      <c r="P18" s="8"/>
      <c r="Q18" s="8">
        <f t="shared" si="1"/>
        <v>8142054001</v>
      </c>
    </row>
    <row r="19" spans="1:18" ht="22.5" x14ac:dyDescent="0.45">
      <c r="A19" s="16" t="s">
        <v>190</v>
      </c>
      <c r="C19" s="8">
        <v>5400000</v>
      </c>
      <c r="D19" s="8"/>
      <c r="E19" s="8">
        <v>101444696255</v>
      </c>
      <c r="G19" s="8">
        <v>115660857869</v>
      </c>
      <c r="H19" s="8"/>
      <c r="I19" s="8">
        <f t="shared" si="0"/>
        <v>-14216161614</v>
      </c>
      <c r="K19" s="8">
        <v>5400000</v>
      </c>
      <c r="L19" s="8"/>
      <c r="M19" s="8">
        <v>101444696255</v>
      </c>
      <c r="N19" s="62"/>
      <c r="O19" s="8">
        <v>115660857869</v>
      </c>
      <c r="P19" s="8"/>
      <c r="Q19" s="8">
        <f t="shared" si="1"/>
        <v>-14216161614</v>
      </c>
    </row>
    <row r="20" spans="1:18" ht="23.25" thickBot="1" x14ac:dyDescent="0.5">
      <c r="A20" s="6" t="s">
        <v>1</v>
      </c>
      <c r="C20" s="5">
        <f>SUM(C9:C19)</f>
        <v>59358370</v>
      </c>
      <c r="E20" s="5">
        <f>SUM(E9:E19)</f>
        <v>488433405815</v>
      </c>
      <c r="G20" s="5">
        <f>SUM(G9:G19)</f>
        <v>496596550729</v>
      </c>
      <c r="I20" s="5">
        <f>SUM(I9:I19)</f>
        <v>-8163144914</v>
      </c>
      <c r="K20" s="5">
        <f>SUM(K9:K19)</f>
        <v>59358370</v>
      </c>
      <c r="M20" s="5">
        <v>2285492654711</v>
      </c>
      <c r="O20" s="5">
        <f>SUM(O9:O19)</f>
        <v>496596550729</v>
      </c>
      <c r="Q20" s="5">
        <f>SUM(Q9:Q19)</f>
        <v>-8163144914</v>
      </c>
      <c r="R20" s="2"/>
    </row>
    <row r="21" spans="1:18" ht="19.5" thickTop="1" x14ac:dyDescent="0.45">
      <c r="C21" s="3"/>
      <c r="E21" s="3"/>
      <c r="G21" s="3"/>
      <c r="I21" s="3"/>
      <c r="K21" s="3"/>
      <c r="M21" s="3"/>
      <c r="O21" s="3"/>
      <c r="Q21" s="3"/>
      <c r="R21" s="17"/>
    </row>
    <row r="22" spans="1:18" ht="18.75" x14ac:dyDescent="0.45">
      <c r="A22" s="87" t="s">
        <v>53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9"/>
    </row>
    <row r="24" spans="1:18" x14ac:dyDescent="0.45">
      <c r="E24" s="17"/>
    </row>
    <row r="25" spans="1:18" x14ac:dyDescent="0.45">
      <c r="C25" s="29"/>
      <c r="E25" s="17"/>
      <c r="M25" s="17"/>
      <c r="Q25" s="21"/>
    </row>
    <row r="26" spans="1:18" x14ac:dyDescent="0.45">
      <c r="I26" s="29"/>
      <c r="O26" s="2"/>
      <c r="Q26" s="17"/>
    </row>
    <row r="27" spans="1:18" x14ac:dyDescent="0.45">
      <c r="I27" s="2"/>
      <c r="O27" s="2"/>
    </row>
    <row r="28" spans="1:18" x14ac:dyDescent="0.45">
      <c r="I28" s="29"/>
      <c r="O28" s="2"/>
    </row>
    <row r="29" spans="1:18" x14ac:dyDescent="0.45">
      <c r="Q29" s="2"/>
    </row>
    <row r="30" spans="1:18" x14ac:dyDescent="0.45">
      <c r="Q30" s="2"/>
    </row>
    <row r="31" spans="1:18" x14ac:dyDescent="0.45">
      <c r="O31" s="2"/>
      <c r="Q31" s="2"/>
    </row>
    <row r="32" spans="1:18" x14ac:dyDescent="0.45">
      <c r="Q32" s="2"/>
    </row>
  </sheetData>
  <mergeCells count="7">
    <mergeCell ref="A22:Q2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55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0F2A0-DCEA-4E92-96D6-02A0DCB7EA94}">
  <dimension ref="A1:U85"/>
  <sheetViews>
    <sheetView rightToLeft="1" view="pageBreakPreview" topLeftCell="A25" zoomScale="85" zoomScaleNormal="100" zoomScaleSheetLayoutView="85" workbookViewId="0">
      <selection activeCell="A4" sqref="A4"/>
    </sheetView>
  </sheetViews>
  <sheetFormatPr defaultColWidth="9.125" defaultRowHeight="18" x14ac:dyDescent="0.45"/>
  <cols>
    <col min="1" max="1" width="30" style="71" bestFit="1" customWidth="1"/>
    <col min="2" max="2" width="1.375" style="1" customWidth="1"/>
    <col min="3" max="3" width="12.875" style="1" bestFit="1" customWidth="1"/>
    <col min="4" max="4" width="1.375" style="1" customWidth="1"/>
    <col min="5" max="5" width="19" style="1" bestFit="1" customWidth="1"/>
    <col min="6" max="6" width="2.625" style="1" customWidth="1"/>
    <col min="7" max="7" width="19" style="1" bestFit="1" customWidth="1"/>
    <col min="8" max="8" width="1.375" style="1" customWidth="1"/>
    <col min="9" max="9" width="27.5" style="1" bestFit="1" customWidth="1"/>
    <col min="10" max="10" width="2.75" style="1" customWidth="1"/>
    <col min="11" max="11" width="17.75" style="1" customWidth="1"/>
    <col min="12" max="12" width="1.375" style="1" customWidth="1"/>
    <col min="13" max="13" width="26" style="1" bestFit="1" customWidth="1"/>
    <col min="14" max="14" width="1.375" style="1" customWidth="1"/>
    <col min="15" max="15" width="26" style="1" bestFit="1" customWidth="1"/>
    <col min="16" max="16" width="1.375" style="1" customWidth="1"/>
    <col min="17" max="17" width="23.625" style="1" bestFit="1" customWidth="1"/>
    <col min="18" max="18" width="21.75" style="2" bestFit="1" customWidth="1"/>
    <col min="19" max="19" width="3.125" style="1" customWidth="1"/>
    <col min="20" max="20" width="17.375" style="1" bestFit="1" customWidth="1"/>
    <col min="21" max="21" width="10.25" style="1" bestFit="1" customWidth="1"/>
    <col min="22" max="16384" width="9.125" style="1"/>
  </cols>
  <sheetData>
    <row r="1" spans="1:20" s="54" customFormat="1" ht="20.100000000000001" customHeight="1" x14ac:dyDescent="0.45">
      <c r="A1" s="74" t="s">
        <v>112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55"/>
    </row>
    <row r="2" spans="1:20" ht="20.100000000000001" customHeight="1" x14ac:dyDescent="0.45">
      <c r="A2" s="76" t="s">
        <v>135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20" ht="20.100000000000001" customHeight="1" x14ac:dyDescent="0.45">
      <c r="A3" s="76" t="s">
        <v>159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5" spans="1:20" ht="21" x14ac:dyDescent="0.45">
      <c r="A5" s="86" t="s">
        <v>50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7" spans="1:20" ht="21" x14ac:dyDescent="0.45">
      <c r="C7" s="78" t="s">
        <v>111</v>
      </c>
      <c r="D7" s="79"/>
      <c r="E7" s="79"/>
      <c r="F7" s="79"/>
      <c r="G7" s="79"/>
      <c r="H7" s="79"/>
      <c r="I7" s="79"/>
      <c r="K7" s="78" t="s">
        <v>202</v>
      </c>
      <c r="L7" s="79"/>
      <c r="M7" s="79"/>
      <c r="N7" s="79"/>
      <c r="O7" s="79"/>
      <c r="P7" s="79"/>
      <c r="Q7" s="79"/>
    </row>
    <row r="8" spans="1:20" ht="37.5" customHeight="1" x14ac:dyDescent="0.45">
      <c r="A8" s="61" t="s">
        <v>27</v>
      </c>
      <c r="C8" s="15" t="s">
        <v>3</v>
      </c>
      <c r="E8" s="15" t="s">
        <v>6</v>
      </c>
      <c r="G8" s="15" t="s">
        <v>51</v>
      </c>
      <c r="I8" s="15" t="s">
        <v>52</v>
      </c>
      <c r="K8" s="15" t="s">
        <v>3</v>
      </c>
      <c r="M8" s="15" t="s">
        <v>6</v>
      </c>
      <c r="O8" s="15" t="s">
        <v>51</v>
      </c>
      <c r="Q8" s="15" t="s">
        <v>52</v>
      </c>
    </row>
    <row r="9" spans="1:20" s="62" customFormat="1" ht="18.75" customHeight="1" x14ac:dyDescent="0.45">
      <c r="A9" s="10" t="s">
        <v>156</v>
      </c>
      <c r="C9" s="8">
        <f t="shared" ref="C9:C52" si="0">VLOOKUP(A9,data5,17,0)</f>
        <v>34890</v>
      </c>
      <c r="E9" s="8">
        <f t="shared" ref="E9:E52" si="1">VLOOKUP(A9,data5,19,0)</f>
        <v>22922672256</v>
      </c>
      <c r="F9" s="8"/>
      <c r="G9" s="8">
        <f>E9-I9</f>
        <v>22842089080</v>
      </c>
      <c r="I9" s="8">
        <v>80583176</v>
      </c>
      <c r="J9" s="8"/>
      <c r="K9" s="8">
        <v>34890</v>
      </c>
      <c r="M9" s="8">
        <v>22922672256</v>
      </c>
      <c r="O9" s="8">
        <v>22842089080</v>
      </c>
      <c r="Q9" s="8">
        <v>80583176</v>
      </c>
      <c r="R9" s="2"/>
      <c r="S9" s="29"/>
      <c r="T9" s="8"/>
    </row>
    <row r="10" spans="1:20" s="62" customFormat="1" ht="18.75" customHeight="1" x14ac:dyDescent="0.45">
      <c r="A10" s="10" t="s">
        <v>76</v>
      </c>
      <c r="C10" s="8">
        <f t="shared" si="0"/>
        <v>7070</v>
      </c>
      <c r="E10" s="8">
        <f t="shared" si="1"/>
        <v>110653898812</v>
      </c>
      <c r="F10" s="8"/>
      <c r="G10" s="8">
        <f t="shared" ref="G10:G52" si="2">E10-I10</f>
        <v>110445489172</v>
      </c>
      <c r="I10" s="8">
        <v>208409640</v>
      </c>
      <c r="J10" s="8"/>
      <c r="K10" s="8">
        <v>7070</v>
      </c>
      <c r="M10" s="8">
        <v>110653898812</v>
      </c>
      <c r="O10" s="8">
        <v>110445489172</v>
      </c>
      <c r="Q10" s="8">
        <v>208409640</v>
      </c>
      <c r="R10" s="2"/>
      <c r="S10" s="29"/>
      <c r="T10" s="8"/>
    </row>
    <row r="11" spans="1:20" s="62" customFormat="1" ht="18.75" customHeight="1" x14ac:dyDescent="0.45">
      <c r="A11" s="10" t="s">
        <v>81</v>
      </c>
      <c r="C11" s="8">
        <f t="shared" si="0"/>
        <v>26720</v>
      </c>
      <c r="E11" s="8">
        <f t="shared" si="1"/>
        <v>29461649709</v>
      </c>
      <c r="F11" s="8"/>
      <c r="G11" s="8">
        <f t="shared" si="2"/>
        <v>28984505709</v>
      </c>
      <c r="I11" s="8">
        <v>477144000</v>
      </c>
      <c r="J11" s="8"/>
      <c r="K11" s="8">
        <v>26720</v>
      </c>
      <c r="M11" s="8">
        <v>29461649709</v>
      </c>
      <c r="O11" s="8">
        <v>28984505709</v>
      </c>
      <c r="Q11" s="8">
        <v>477144000</v>
      </c>
      <c r="R11" s="2"/>
      <c r="S11" s="29"/>
      <c r="T11" s="8"/>
    </row>
    <row r="12" spans="1:20" s="62" customFormat="1" ht="18.75" customHeight="1" x14ac:dyDescent="0.45">
      <c r="A12" s="10" t="s">
        <v>126</v>
      </c>
      <c r="C12" s="8">
        <f t="shared" si="0"/>
        <v>28150</v>
      </c>
      <c r="E12" s="8">
        <f t="shared" si="1"/>
        <v>30462858416</v>
      </c>
      <c r="F12" s="8"/>
      <c r="G12" s="8">
        <f t="shared" si="2"/>
        <v>29816725916</v>
      </c>
      <c r="I12" s="8">
        <v>646132500</v>
      </c>
      <c r="J12" s="8"/>
      <c r="K12" s="8">
        <v>28150</v>
      </c>
      <c r="M12" s="8">
        <v>30462858416</v>
      </c>
      <c r="O12" s="8">
        <v>29816725916</v>
      </c>
      <c r="Q12" s="8">
        <v>646132500</v>
      </c>
      <c r="R12" s="2"/>
      <c r="S12" s="29"/>
      <c r="T12" s="8"/>
    </row>
    <row r="13" spans="1:20" s="62" customFormat="1" ht="18.75" customHeight="1" x14ac:dyDescent="0.45">
      <c r="A13" s="10" t="s">
        <v>73</v>
      </c>
      <c r="C13" s="8">
        <f t="shared" si="0"/>
        <v>170690</v>
      </c>
      <c r="E13" s="8">
        <f t="shared" si="1"/>
        <v>42314278549</v>
      </c>
      <c r="F13" s="8"/>
      <c r="G13" s="8">
        <f t="shared" si="2"/>
        <v>41210883049</v>
      </c>
      <c r="I13" s="8">
        <v>1103395500</v>
      </c>
      <c r="J13" s="8"/>
      <c r="K13" s="8">
        <v>170690</v>
      </c>
      <c r="M13" s="8">
        <v>42314278549</v>
      </c>
      <c r="O13" s="8">
        <v>41210883049</v>
      </c>
      <c r="Q13" s="8">
        <v>1103395500</v>
      </c>
      <c r="R13" s="2"/>
      <c r="S13" s="29"/>
      <c r="T13" s="8"/>
    </row>
    <row r="14" spans="1:20" s="62" customFormat="1" ht="18.75" customHeight="1" x14ac:dyDescent="0.45">
      <c r="A14" s="10" t="s">
        <v>157</v>
      </c>
      <c r="C14" s="8">
        <f t="shared" si="0"/>
        <v>29780</v>
      </c>
      <c r="E14" s="8">
        <f t="shared" si="1"/>
        <v>20203475406</v>
      </c>
      <c r="F14" s="8"/>
      <c r="G14" s="8">
        <f t="shared" si="2"/>
        <v>18769309770</v>
      </c>
      <c r="I14" s="8">
        <v>1434165636</v>
      </c>
      <c r="J14" s="8"/>
      <c r="K14" s="8">
        <v>29780</v>
      </c>
      <c r="M14" s="8">
        <v>20203475406</v>
      </c>
      <c r="O14" s="8">
        <v>18769309770</v>
      </c>
      <c r="Q14" s="8">
        <v>1434165636</v>
      </c>
      <c r="R14" s="2"/>
      <c r="S14" s="29"/>
      <c r="T14" s="8"/>
    </row>
    <row r="15" spans="1:20" s="62" customFormat="1" ht="18.75" customHeight="1" x14ac:dyDescent="0.45">
      <c r="A15" s="10" t="s">
        <v>125</v>
      </c>
      <c r="C15" s="8">
        <f t="shared" si="0"/>
        <v>30840</v>
      </c>
      <c r="E15" s="8">
        <f t="shared" si="1"/>
        <v>30856608280</v>
      </c>
      <c r="F15" s="8"/>
      <c r="G15" s="8">
        <f t="shared" si="2"/>
        <v>27612029080</v>
      </c>
      <c r="I15" s="8">
        <v>3244579200</v>
      </c>
      <c r="J15" s="8"/>
      <c r="K15" s="8">
        <v>30840</v>
      </c>
      <c r="M15" s="8">
        <v>30856608280</v>
      </c>
      <c r="O15" s="8">
        <v>27612029080</v>
      </c>
      <c r="Q15" s="8">
        <v>3244579200</v>
      </c>
      <c r="R15" s="2"/>
      <c r="S15" s="29"/>
      <c r="T15" s="8"/>
    </row>
    <row r="16" spans="1:20" s="62" customFormat="1" ht="18.75" customHeight="1" x14ac:dyDescent="0.45">
      <c r="A16" s="10" t="s">
        <v>88</v>
      </c>
      <c r="C16" s="8">
        <f t="shared" si="0"/>
        <v>5060</v>
      </c>
      <c r="E16" s="8">
        <f t="shared" si="1"/>
        <v>5546</v>
      </c>
      <c r="F16" s="8"/>
      <c r="G16" s="8">
        <f t="shared" si="2"/>
        <v>6192</v>
      </c>
      <c r="I16" s="8">
        <v>-646</v>
      </c>
      <c r="J16" s="8"/>
      <c r="K16" s="8">
        <v>5060</v>
      </c>
      <c r="M16" s="8">
        <v>5546</v>
      </c>
      <c r="O16" s="8">
        <v>6192</v>
      </c>
      <c r="Q16" s="8">
        <v>-646</v>
      </c>
      <c r="R16" s="2"/>
      <c r="S16" s="29"/>
      <c r="T16" s="8"/>
    </row>
    <row r="17" spans="1:20" s="62" customFormat="1" ht="18.75" customHeight="1" x14ac:dyDescent="0.45">
      <c r="A17" s="10" t="s">
        <v>161</v>
      </c>
      <c r="C17" s="8">
        <f t="shared" si="0"/>
        <v>25910</v>
      </c>
      <c r="E17" s="8">
        <f t="shared" si="1"/>
        <v>48793493516</v>
      </c>
      <c r="F17" s="8"/>
      <c r="G17" s="8">
        <f t="shared" si="2"/>
        <v>48799742551</v>
      </c>
      <c r="I17" s="8">
        <v>-6249035</v>
      </c>
      <c r="J17" s="8"/>
      <c r="K17" s="8">
        <v>25910</v>
      </c>
      <c r="M17" s="8">
        <v>48793493516</v>
      </c>
      <c r="O17" s="8">
        <v>48799742551</v>
      </c>
      <c r="Q17" s="8">
        <v>-6249035</v>
      </c>
      <c r="R17" s="2"/>
      <c r="S17" s="29"/>
      <c r="T17" s="8"/>
    </row>
    <row r="18" spans="1:20" s="62" customFormat="1" ht="18.75" customHeight="1" x14ac:dyDescent="0.45">
      <c r="A18" s="10" t="s">
        <v>174</v>
      </c>
      <c r="C18" s="8">
        <f t="shared" si="0"/>
        <v>9420</v>
      </c>
      <c r="E18" s="8">
        <f t="shared" si="1"/>
        <v>10605512729</v>
      </c>
      <c r="F18" s="8"/>
      <c r="G18" s="8">
        <f t="shared" si="2"/>
        <v>10708099638</v>
      </c>
      <c r="I18" s="8">
        <v>-102586909</v>
      </c>
      <c r="J18" s="8"/>
      <c r="K18" s="8">
        <v>9420</v>
      </c>
      <c r="M18" s="8">
        <v>10605512729</v>
      </c>
      <c r="O18" s="8">
        <v>10708099638</v>
      </c>
      <c r="Q18" s="8">
        <v>-102586909</v>
      </c>
      <c r="R18" s="2"/>
      <c r="S18" s="29"/>
      <c r="T18" s="8"/>
    </row>
    <row r="19" spans="1:20" s="62" customFormat="1" ht="18.75" customHeight="1" x14ac:dyDescent="0.45">
      <c r="A19" s="10" t="s">
        <v>80</v>
      </c>
      <c r="C19" s="8">
        <f t="shared" si="0"/>
        <v>6890</v>
      </c>
      <c r="E19" s="8">
        <f t="shared" si="1"/>
        <v>15622939275</v>
      </c>
      <c r="F19" s="8"/>
      <c r="G19" s="8">
        <f t="shared" si="2"/>
        <v>15846600525</v>
      </c>
      <c r="I19" s="8">
        <v>-223661250</v>
      </c>
      <c r="J19" s="8"/>
      <c r="K19" s="8">
        <v>6890</v>
      </c>
      <c r="M19" s="8">
        <v>15622939275</v>
      </c>
      <c r="O19" s="8">
        <v>15846600525</v>
      </c>
      <c r="Q19" s="8">
        <v>-223661250</v>
      </c>
      <c r="R19" s="2"/>
      <c r="S19" s="29"/>
      <c r="T19" s="8"/>
    </row>
    <row r="20" spans="1:20" s="62" customFormat="1" ht="18.75" customHeight="1" x14ac:dyDescent="0.45">
      <c r="A20" s="10" t="s">
        <v>128</v>
      </c>
      <c r="C20" s="8">
        <f t="shared" si="0"/>
        <v>13860</v>
      </c>
      <c r="E20" s="8">
        <f t="shared" si="1"/>
        <v>4403976611</v>
      </c>
      <c r="F20" s="8"/>
      <c r="G20" s="8">
        <f t="shared" si="2"/>
        <v>4792643560</v>
      </c>
      <c r="I20" s="8">
        <v>-388666949</v>
      </c>
      <c r="J20" s="8"/>
      <c r="K20" s="8">
        <v>13860</v>
      </c>
      <c r="M20" s="8">
        <v>4403976611</v>
      </c>
      <c r="O20" s="8">
        <v>4792643560</v>
      </c>
      <c r="Q20" s="8">
        <v>-388666949</v>
      </c>
      <c r="R20" s="2"/>
      <c r="S20" s="29"/>
      <c r="T20" s="8"/>
    </row>
    <row r="21" spans="1:20" s="62" customFormat="1" ht="18.75" customHeight="1" x14ac:dyDescent="0.45">
      <c r="A21" s="10" t="s">
        <v>83</v>
      </c>
      <c r="C21" s="8">
        <f t="shared" si="0"/>
        <v>11610</v>
      </c>
      <c r="E21" s="8">
        <f t="shared" si="1"/>
        <v>54238257887</v>
      </c>
      <c r="F21" s="8"/>
      <c r="G21" s="8">
        <f t="shared" si="2"/>
        <v>54649362495</v>
      </c>
      <c r="I21" s="8">
        <v>-411104608</v>
      </c>
      <c r="J21" s="8"/>
      <c r="K21" s="8">
        <v>11610</v>
      </c>
      <c r="M21" s="8">
        <v>54238257887</v>
      </c>
      <c r="O21" s="8">
        <v>54649362495</v>
      </c>
      <c r="Q21" s="8">
        <v>-411104608</v>
      </c>
      <c r="R21" s="2"/>
      <c r="S21" s="29"/>
      <c r="T21" s="8"/>
    </row>
    <row r="22" spans="1:20" s="62" customFormat="1" ht="18.75" customHeight="1" x14ac:dyDescent="0.45">
      <c r="A22" s="10" t="s">
        <v>127</v>
      </c>
      <c r="C22" s="8">
        <f t="shared" si="0"/>
        <v>5850</v>
      </c>
      <c r="E22" s="8">
        <f t="shared" si="1"/>
        <v>43999915558</v>
      </c>
      <c r="F22" s="8"/>
      <c r="G22" s="8">
        <f t="shared" si="2"/>
        <v>44489154025</v>
      </c>
      <c r="I22" s="8">
        <v>-489238467</v>
      </c>
      <c r="J22" s="8"/>
      <c r="K22" s="8">
        <v>5850</v>
      </c>
      <c r="M22" s="8">
        <v>43999915558</v>
      </c>
      <c r="O22" s="8">
        <v>44489154025</v>
      </c>
      <c r="Q22" s="8">
        <v>-489238467</v>
      </c>
      <c r="R22" s="2"/>
      <c r="S22" s="29"/>
      <c r="T22" s="8"/>
    </row>
    <row r="23" spans="1:20" s="62" customFormat="1" ht="18.75" customHeight="1" x14ac:dyDescent="0.45">
      <c r="A23" s="10" t="s">
        <v>160</v>
      </c>
      <c r="C23" s="8">
        <f t="shared" si="0"/>
        <v>5280</v>
      </c>
      <c r="E23" s="8">
        <f t="shared" si="1"/>
        <v>11155342516</v>
      </c>
      <c r="F23" s="8"/>
      <c r="G23" s="8">
        <f t="shared" si="2"/>
        <v>11813517032</v>
      </c>
      <c r="I23" s="8">
        <v>-658174516</v>
      </c>
      <c r="J23" s="8"/>
      <c r="K23" s="8">
        <v>5280</v>
      </c>
      <c r="M23" s="8">
        <v>11155342516</v>
      </c>
      <c r="O23" s="8">
        <v>11813517032</v>
      </c>
      <c r="Q23" s="8">
        <v>-658174516</v>
      </c>
      <c r="R23" s="2"/>
      <c r="S23" s="29"/>
      <c r="T23" s="8"/>
    </row>
    <row r="24" spans="1:20" s="62" customFormat="1" ht="18.75" customHeight="1" x14ac:dyDescent="0.45">
      <c r="A24" s="10" t="s">
        <v>124</v>
      </c>
      <c r="C24" s="8">
        <f t="shared" si="0"/>
        <v>6430</v>
      </c>
      <c r="E24" s="8">
        <f t="shared" si="1"/>
        <v>7188243397</v>
      </c>
      <c r="F24" s="8"/>
      <c r="G24" s="8">
        <f t="shared" si="2"/>
        <v>8251876897</v>
      </c>
      <c r="I24" s="8">
        <v>-1063633500</v>
      </c>
      <c r="J24" s="8"/>
      <c r="K24" s="8">
        <v>6430</v>
      </c>
      <c r="M24" s="8">
        <v>7188243397</v>
      </c>
      <c r="O24" s="8">
        <v>8251876897</v>
      </c>
      <c r="Q24" s="8">
        <v>-1063633500</v>
      </c>
      <c r="R24" s="2"/>
      <c r="S24" s="29"/>
      <c r="T24" s="8"/>
    </row>
    <row r="25" spans="1:20" s="62" customFormat="1" ht="18.75" customHeight="1" x14ac:dyDescent="0.45">
      <c r="A25" s="10" t="s">
        <v>130</v>
      </c>
      <c r="C25" s="8">
        <f t="shared" si="0"/>
        <v>1184</v>
      </c>
      <c r="E25" s="8">
        <f t="shared" si="1"/>
        <v>14990570096</v>
      </c>
      <c r="F25" s="8"/>
      <c r="G25" s="8">
        <f t="shared" si="2"/>
        <v>16126865484</v>
      </c>
      <c r="I25" s="8">
        <v>-1136295388</v>
      </c>
      <c r="J25" s="8"/>
      <c r="K25" s="8">
        <v>1184</v>
      </c>
      <c r="M25" s="8">
        <v>14990570096</v>
      </c>
      <c r="O25" s="8">
        <v>16126865484</v>
      </c>
      <c r="Q25" s="8">
        <v>-1136295388</v>
      </c>
      <c r="R25" s="2"/>
      <c r="S25" s="29"/>
      <c r="T25" s="8"/>
    </row>
    <row r="26" spans="1:20" s="62" customFormat="1" ht="18.75" customHeight="1" x14ac:dyDescent="0.45">
      <c r="A26" s="10" t="s">
        <v>85</v>
      </c>
      <c r="C26" s="8">
        <f t="shared" si="0"/>
        <v>7250</v>
      </c>
      <c r="E26" s="8">
        <f t="shared" si="1"/>
        <v>13477555218</v>
      </c>
      <c r="F26" s="8"/>
      <c r="G26" s="8">
        <f t="shared" si="2"/>
        <v>14874462788</v>
      </c>
      <c r="I26" s="8">
        <v>-1396907570</v>
      </c>
      <c r="J26" s="8"/>
      <c r="K26" s="8">
        <v>7250</v>
      </c>
      <c r="M26" s="8">
        <v>13477555218</v>
      </c>
      <c r="O26" s="8">
        <v>14874462788</v>
      </c>
      <c r="Q26" s="8">
        <v>-1396907570</v>
      </c>
      <c r="R26" s="2"/>
      <c r="S26" s="29"/>
      <c r="T26" s="8"/>
    </row>
    <row r="27" spans="1:20" s="62" customFormat="1" ht="18.75" customHeight="1" x14ac:dyDescent="0.45">
      <c r="A27" s="10" t="s">
        <v>175</v>
      </c>
      <c r="C27" s="8">
        <f t="shared" si="0"/>
        <v>66500</v>
      </c>
      <c r="E27" s="8">
        <f t="shared" si="1"/>
        <v>19388745027</v>
      </c>
      <c r="F27" s="8"/>
      <c r="G27" s="8">
        <f t="shared" si="2"/>
        <v>20929322304</v>
      </c>
      <c r="I27" s="8">
        <v>-1540577277</v>
      </c>
      <c r="J27" s="8"/>
      <c r="K27" s="8">
        <v>66500</v>
      </c>
      <c r="M27" s="8">
        <v>19388745027</v>
      </c>
      <c r="O27" s="8">
        <v>20929322304</v>
      </c>
      <c r="Q27" s="8">
        <v>-1540577277</v>
      </c>
      <c r="R27" s="2"/>
      <c r="S27" s="29"/>
      <c r="T27" s="8"/>
    </row>
    <row r="28" spans="1:20" s="62" customFormat="1" ht="18.75" customHeight="1" x14ac:dyDescent="0.45">
      <c r="A28" s="10" t="s">
        <v>87</v>
      </c>
      <c r="C28" s="8">
        <f t="shared" si="0"/>
        <v>2785</v>
      </c>
      <c r="E28" s="8">
        <f t="shared" si="1"/>
        <v>20709003350</v>
      </c>
      <c r="F28" s="8"/>
      <c r="G28" s="8">
        <f t="shared" si="2"/>
        <v>22304876407</v>
      </c>
      <c r="I28" s="8">
        <v>-1595873057</v>
      </c>
      <c r="J28" s="8"/>
      <c r="K28" s="8">
        <v>2785</v>
      </c>
      <c r="M28" s="8">
        <v>20709003350</v>
      </c>
      <c r="O28" s="8">
        <v>22304876407</v>
      </c>
      <c r="Q28" s="8">
        <v>-1595873057</v>
      </c>
      <c r="R28" s="2"/>
      <c r="S28" s="29"/>
      <c r="T28" s="8"/>
    </row>
    <row r="29" spans="1:20" s="62" customFormat="1" ht="18.75" customHeight="1" x14ac:dyDescent="0.45">
      <c r="A29" s="10" t="s">
        <v>176</v>
      </c>
      <c r="C29" s="8">
        <f t="shared" si="0"/>
        <v>33160</v>
      </c>
      <c r="E29" s="8">
        <f t="shared" si="1"/>
        <v>10130780330</v>
      </c>
      <c r="F29" s="8"/>
      <c r="G29" s="8">
        <f t="shared" si="2"/>
        <v>12020886160</v>
      </c>
      <c r="I29" s="8">
        <v>-1890105830</v>
      </c>
      <c r="J29" s="8"/>
      <c r="K29" s="8">
        <v>33160</v>
      </c>
      <c r="M29" s="8">
        <v>10130780330</v>
      </c>
      <c r="O29" s="8">
        <v>12020886160</v>
      </c>
      <c r="Q29" s="8">
        <v>-1890105830</v>
      </c>
      <c r="R29" s="2"/>
      <c r="S29" s="29"/>
      <c r="T29" s="8"/>
    </row>
    <row r="30" spans="1:20" s="62" customFormat="1" ht="18.75" customHeight="1" x14ac:dyDescent="0.45">
      <c r="A30" s="10" t="s">
        <v>77</v>
      </c>
      <c r="C30" s="8">
        <f t="shared" si="0"/>
        <v>18370</v>
      </c>
      <c r="E30" s="8">
        <f t="shared" si="1"/>
        <v>42253072767</v>
      </c>
      <c r="F30" s="8"/>
      <c r="G30" s="8">
        <f t="shared" si="2"/>
        <v>44170378782</v>
      </c>
      <c r="I30" s="8">
        <v>-1917306015</v>
      </c>
      <c r="J30" s="8"/>
      <c r="K30" s="8">
        <v>18370</v>
      </c>
      <c r="M30" s="8">
        <v>42253072767</v>
      </c>
      <c r="O30" s="8">
        <v>44170378782</v>
      </c>
      <c r="Q30" s="8">
        <v>-1917306015</v>
      </c>
      <c r="R30" s="2"/>
      <c r="S30" s="29"/>
      <c r="T30" s="8"/>
    </row>
    <row r="31" spans="1:20" s="62" customFormat="1" ht="18.75" customHeight="1" x14ac:dyDescent="0.45">
      <c r="A31" s="10" t="s">
        <v>75</v>
      </c>
      <c r="C31" s="8">
        <f t="shared" si="0"/>
        <v>4116</v>
      </c>
      <c r="E31" s="8">
        <f t="shared" si="1"/>
        <v>48273919871</v>
      </c>
      <c r="F31" s="8"/>
      <c r="G31" s="8">
        <f t="shared" si="2"/>
        <v>50213953081</v>
      </c>
      <c r="I31" s="8">
        <v>-1940033210</v>
      </c>
      <c r="J31" s="8"/>
      <c r="K31" s="8">
        <v>4116</v>
      </c>
      <c r="M31" s="8">
        <v>48273919871</v>
      </c>
      <c r="O31" s="8">
        <v>50213953081</v>
      </c>
      <c r="Q31" s="8">
        <v>-1940033210</v>
      </c>
      <c r="R31" s="2"/>
      <c r="S31" s="29"/>
      <c r="T31" s="8"/>
    </row>
    <row r="32" spans="1:20" s="62" customFormat="1" ht="18.75" customHeight="1" x14ac:dyDescent="0.45">
      <c r="A32" s="10" t="s">
        <v>155</v>
      </c>
      <c r="C32" s="8">
        <f t="shared" si="0"/>
        <v>37850</v>
      </c>
      <c r="E32" s="8">
        <f t="shared" si="1"/>
        <v>49453690349</v>
      </c>
      <c r="F32" s="8"/>
      <c r="G32" s="8">
        <f t="shared" si="2"/>
        <v>51490126278</v>
      </c>
      <c r="I32" s="8">
        <v>-2036435929</v>
      </c>
      <c r="J32" s="8"/>
      <c r="K32" s="8">
        <v>37850</v>
      </c>
      <c r="M32" s="8">
        <v>49453690349</v>
      </c>
      <c r="O32" s="8">
        <v>51490126278</v>
      </c>
      <c r="Q32" s="8">
        <v>-2036435929</v>
      </c>
      <c r="R32" s="2"/>
      <c r="S32" s="29"/>
      <c r="T32" s="8"/>
    </row>
    <row r="33" spans="1:20" s="62" customFormat="1" ht="18.75" customHeight="1" x14ac:dyDescent="0.45">
      <c r="A33" s="10" t="s">
        <v>177</v>
      </c>
      <c r="C33" s="8">
        <f t="shared" si="0"/>
        <v>34200</v>
      </c>
      <c r="E33" s="8">
        <f t="shared" si="1"/>
        <v>29485787063</v>
      </c>
      <c r="F33" s="8"/>
      <c r="G33" s="8">
        <f t="shared" si="2"/>
        <v>31774366126</v>
      </c>
      <c r="I33" s="8">
        <v>-2288579063</v>
      </c>
      <c r="J33" s="8"/>
      <c r="K33" s="8">
        <v>34200</v>
      </c>
      <c r="M33" s="8">
        <v>29485787063</v>
      </c>
      <c r="O33" s="8">
        <v>31774366126</v>
      </c>
      <c r="Q33" s="8">
        <v>-2288579063</v>
      </c>
      <c r="R33" s="2"/>
      <c r="S33" s="29"/>
      <c r="T33" s="8"/>
    </row>
    <row r="34" spans="1:20" s="62" customFormat="1" ht="18.75" customHeight="1" x14ac:dyDescent="0.45">
      <c r="A34" s="10" t="s">
        <v>123</v>
      </c>
      <c r="C34" s="8">
        <f t="shared" si="0"/>
        <v>12820</v>
      </c>
      <c r="E34" s="8">
        <f t="shared" si="1"/>
        <v>10577931896</v>
      </c>
      <c r="F34" s="8"/>
      <c r="G34" s="8">
        <f t="shared" si="2"/>
        <v>12954186313</v>
      </c>
      <c r="I34" s="8">
        <v>-2376254417</v>
      </c>
      <c r="J34" s="8"/>
      <c r="K34" s="8">
        <v>12820</v>
      </c>
      <c r="M34" s="8">
        <v>10577931896</v>
      </c>
      <c r="O34" s="8">
        <v>12954186313</v>
      </c>
      <c r="Q34" s="8">
        <v>-2376254417</v>
      </c>
      <c r="R34" s="2"/>
      <c r="S34" s="29"/>
      <c r="T34" s="8"/>
    </row>
    <row r="35" spans="1:20" s="62" customFormat="1" ht="18.75" customHeight="1" x14ac:dyDescent="0.45">
      <c r="A35" s="10" t="s">
        <v>178</v>
      </c>
      <c r="C35" s="8">
        <f t="shared" si="0"/>
        <v>6500</v>
      </c>
      <c r="E35" s="8">
        <f t="shared" si="1"/>
        <v>21837613502</v>
      </c>
      <c r="F35" s="8"/>
      <c r="G35" s="8">
        <f t="shared" si="2"/>
        <v>24291252004</v>
      </c>
      <c r="I35" s="8">
        <v>-2453638502</v>
      </c>
      <c r="J35" s="8"/>
      <c r="K35" s="8">
        <v>6500</v>
      </c>
      <c r="M35" s="8">
        <v>21837613502</v>
      </c>
      <c r="O35" s="8">
        <v>24291252004</v>
      </c>
      <c r="Q35" s="8">
        <v>-2453638502</v>
      </c>
      <c r="R35" s="2"/>
      <c r="S35" s="29"/>
      <c r="T35" s="8"/>
    </row>
    <row r="36" spans="1:20" s="62" customFormat="1" ht="18.75" customHeight="1" x14ac:dyDescent="0.45">
      <c r="A36" s="10" t="s">
        <v>72</v>
      </c>
      <c r="C36" s="8">
        <f t="shared" si="0"/>
        <v>3663</v>
      </c>
      <c r="E36" s="8">
        <f t="shared" si="1"/>
        <v>20029063958</v>
      </c>
      <c r="F36" s="8"/>
      <c r="G36" s="8">
        <f t="shared" si="2"/>
        <v>22645050693</v>
      </c>
      <c r="I36" s="8">
        <v>-2615986735</v>
      </c>
      <c r="J36" s="8"/>
      <c r="K36" s="8">
        <v>3663</v>
      </c>
      <c r="M36" s="8">
        <v>20029063958</v>
      </c>
      <c r="O36" s="8">
        <v>22645050693</v>
      </c>
      <c r="Q36" s="8">
        <v>-2615986735</v>
      </c>
      <c r="R36" s="2"/>
      <c r="S36" s="29"/>
      <c r="T36" s="8"/>
    </row>
    <row r="37" spans="1:20" s="62" customFormat="1" ht="18.75" customHeight="1" x14ac:dyDescent="0.45">
      <c r="A37" s="10" t="s">
        <v>193</v>
      </c>
      <c r="C37" s="8">
        <f t="shared" si="0"/>
        <v>28950</v>
      </c>
      <c r="E37" s="8">
        <f t="shared" si="1"/>
        <v>57397775772</v>
      </c>
      <c r="F37" s="8"/>
      <c r="G37" s="8">
        <f t="shared" si="2"/>
        <v>60101492447</v>
      </c>
      <c r="I37" s="8">
        <v>-2703716675</v>
      </c>
      <c r="J37" s="8"/>
      <c r="K37" s="8">
        <v>28950</v>
      </c>
      <c r="M37" s="8">
        <v>57397775772</v>
      </c>
      <c r="O37" s="8">
        <v>60101492447</v>
      </c>
      <c r="Q37" s="8">
        <v>-2703716675</v>
      </c>
      <c r="R37" s="2"/>
      <c r="S37" s="29"/>
      <c r="T37" s="8"/>
    </row>
    <row r="38" spans="1:20" s="62" customFormat="1" ht="18.75" customHeight="1" x14ac:dyDescent="0.45">
      <c r="A38" s="10" t="s">
        <v>134</v>
      </c>
      <c r="C38" s="8">
        <f t="shared" si="0"/>
        <v>29350</v>
      </c>
      <c r="E38" s="8">
        <f t="shared" si="1"/>
        <v>43186766823</v>
      </c>
      <c r="F38" s="8"/>
      <c r="G38" s="8">
        <f t="shared" si="2"/>
        <v>46469747569</v>
      </c>
      <c r="I38" s="8">
        <v>-3282980746</v>
      </c>
      <c r="J38" s="8"/>
      <c r="K38" s="8">
        <v>29350</v>
      </c>
      <c r="M38" s="8">
        <v>43186766823</v>
      </c>
      <c r="O38" s="8">
        <v>46469747569</v>
      </c>
      <c r="Q38" s="8">
        <v>-3282980746</v>
      </c>
      <c r="R38" s="2"/>
      <c r="S38" s="29"/>
      <c r="T38" s="8"/>
    </row>
    <row r="39" spans="1:20" s="62" customFormat="1" ht="18.75" customHeight="1" x14ac:dyDescent="0.45">
      <c r="A39" s="10" t="s">
        <v>64</v>
      </c>
      <c r="C39" s="8">
        <f t="shared" si="0"/>
        <v>8270</v>
      </c>
      <c r="E39" s="8">
        <f t="shared" si="1"/>
        <v>100510915443</v>
      </c>
      <c r="F39" s="8"/>
      <c r="G39" s="8">
        <f t="shared" si="2"/>
        <v>104020232566</v>
      </c>
      <c r="I39" s="8">
        <v>-3509317123</v>
      </c>
      <c r="J39" s="8"/>
      <c r="K39" s="8">
        <v>8270</v>
      </c>
      <c r="M39" s="8">
        <v>100510915443</v>
      </c>
      <c r="O39" s="8">
        <v>104020232566</v>
      </c>
      <c r="Q39" s="8">
        <v>-3509317123</v>
      </c>
      <c r="R39" s="2"/>
      <c r="S39" s="29"/>
      <c r="T39" s="8"/>
    </row>
    <row r="40" spans="1:20" s="62" customFormat="1" ht="18.75" customHeight="1" x14ac:dyDescent="0.45">
      <c r="A40" s="10" t="s">
        <v>79</v>
      </c>
      <c r="C40" s="8">
        <f t="shared" si="0"/>
        <v>39690</v>
      </c>
      <c r="E40" s="8">
        <f t="shared" si="1"/>
        <v>25441287626</v>
      </c>
      <c r="F40" s="8"/>
      <c r="G40" s="8">
        <f t="shared" si="2"/>
        <v>29467389049</v>
      </c>
      <c r="I40" s="8">
        <v>-4026101423</v>
      </c>
      <c r="J40" s="8"/>
      <c r="K40" s="8">
        <v>39690</v>
      </c>
      <c r="M40" s="8">
        <v>25441287626</v>
      </c>
      <c r="O40" s="8">
        <v>29467389049</v>
      </c>
      <c r="Q40" s="8">
        <v>-4026101423</v>
      </c>
      <c r="R40" s="2"/>
      <c r="S40" s="29"/>
      <c r="T40" s="8"/>
    </row>
    <row r="41" spans="1:20" s="62" customFormat="1" ht="18.75" customHeight="1" x14ac:dyDescent="0.45">
      <c r="A41" s="10" t="s">
        <v>84</v>
      </c>
      <c r="C41" s="8">
        <f t="shared" si="0"/>
        <v>21720</v>
      </c>
      <c r="E41" s="8">
        <f t="shared" si="1"/>
        <v>31686914670</v>
      </c>
      <c r="F41" s="8"/>
      <c r="G41" s="8">
        <f t="shared" si="2"/>
        <v>35801346587</v>
      </c>
      <c r="I41" s="8">
        <v>-4114431917</v>
      </c>
      <c r="J41" s="8"/>
      <c r="K41" s="8">
        <v>21720</v>
      </c>
      <c r="M41" s="8">
        <v>31686914670</v>
      </c>
      <c r="O41" s="8">
        <v>35801346587</v>
      </c>
      <c r="Q41" s="8">
        <v>-4114431917</v>
      </c>
      <c r="R41" s="2"/>
      <c r="S41" s="29"/>
      <c r="T41" s="8"/>
    </row>
    <row r="42" spans="1:20" ht="18.75" customHeight="1" x14ac:dyDescent="0.45">
      <c r="A42" s="10" t="s">
        <v>90</v>
      </c>
      <c r="C42" s="8">
        <f t="shared" si="0"/>
        <v>135790</v>
      </c>
      <c r="E42" s="8">
        <f t="shared" si="1"/>
        <v>58885595157</v>
      </c>
      <c r="F42" s="8"/>
      <c r="G42" s="8">
        <f t="shared" si="2"/>
        <v>63778370514</v>
      </c>
      <c r="I42" s="8">
        <v>-4892775357</v>
      </c>
      <c r="J42" s="8"/>
      <c r="K42" s="8">
        <v>135790</v>
      </c>
      <c r="M42" s="8">
        <v>58885595157</v>
      </c>
      <c r="O42" s="8">
        <v>63778370514</v>
      </c>
      <c r="Q42" s="8">
        <v>-4892775357</v>
      </c>
      <c r="S42" s="29"/>
      <c r="T42" s="8"/>
    </row>
    <row r="43" spans="1:20" s="62" customFormat="1" ht="18.75" customHeight="1" x14ac:dyDescent="0.45">
      <c r="A43" s="10" t="s">
        <v>131</v>
      </c>
      <c r="C43" s="8">
        <f t="shared" si="0"/>
        <v>3228</v>
      </c>
      <c r="E43" s="8">
        <f t="shared" si="1"/>
        <v>43117915484</v>
      </c>
      <c r="F43" s="8"/>
      <c r="G43" s="8">
        <f t="shared" si="2"/>
        <v>48054764288</v>
      </c>
      <c r="I43" s="8">
        <v>-4936848804</v>
      </c>
      <c r="J43" s="8"/>
      <c r="K43" s="8">
        <v>3228</v>
      </c>
      <c r="M43" s="8">
        <v>43117915484</v>
      </c>
      <c r="O43" s="8">
        <v>48054764288</v>
      </c>
      <c r="Q43" s="8">
        <v>-4936848804</v>
      </c>
      <c r="R43" s="2"/>
      <c r="S43" s="29"/>
      <c r="T43" s="8"/>
    </row>
    <row r="44" spans="1:20" ht="18.75" customHeight="1" x14ac:dyDescent="0.45">
      <c r="A44" s="10" t="s">
        <v>129</v>
      </c>
      <c r="C44" s="8">
        <f t="shared" si="0"/>
        <v>2366</v>
      </c>
      <c r="E44" s="8">
        <f t="shared" si="1"/>
        <v>50474796962</v>
      </c>
      <c r="F44" s="8"/>
      <c r="G44" s="8">
        <f t="shared" si="2"/>
        <v>56987812562</v>
      </c>
      <c r="I44" s="8">
        <v>-6513015600</v>
      </c>
      <c r="J44" s="8"/>
      <c r="K44" s="8">
        <v>2366</v>
      </c>
      <c r="M44" s="8">
        <v>50474796962</v>
      </c>
      <c r="O44" s="8">
        <v>56987812562</v>
      </c>
      <c r="Q44" s="8">
        <v>-6513015600</v>
      </c>
      <c r="S44" s="29"/>
      <c r="T44" s="8"/>
    </row>
    <row r="45" spans="1:20" ht="18.75" customHeight="1" x14ac:dyDescent="0.45">
      <c r="A45" s="10" t="s">
        <v>65</v>
      </c>
      <c r="C45" s="8">
        <f t="shared" si="0"/>
        <v>5460</v>
      </c>
      <c r="E45" s="8">
        <f t="shared" si="1"/>
        <v>128597369601</v>
      </c>
      <c r="F45" s="8"/>
      <c r="G45" s="8">
        <f t="shared" si="2"/>
        <v>135980508538</v>
      </c>
      <c r="I45" s="8">
        <v>-7383138937</v>
      </c>
      <c r="J45" s="8"/>
      <c r="K45" s="8">
        <v>5460</v>
      </c>
      <c r="M45" s="8">
        <v>128597369601</v>
      </c>
      <c r="O45" s="8">
        <v>135980508538</v>
      </c>
      <c r="Q45" s="8">
        <v>-7383138937</v>
      </c>
      <c r="S45" s="29"/>
      <c r="T45" s="8"/>
    </row>
    <row r="46" spans="1:20" ht="18.75" customHeight="1" x14ac:dyDescent="0.45">
      <c r="A46" s="10" t="s">
        <v>78</v>
      </c>
      <c r="C46" s="8">
        <f t="shared" si="0"/>
        <v>23570</v>
      </c>
      <c r="E46" s="8">
        <f t="shared" si="1"/>
        <v>40641741878</v>
      </c>
      <c r="F46" s="8"/>
      <c r="G46" s="8">
        <f t="shared" si="2"/>
        <v>48881973608</v>
      </c>
      <c r="I46" s="8">
        <v>-8240231730</v>
      </c>
      <c r="J46" s="8"/>
      <c r="K46" s="8">
        <v>23570</v>
      </c>
      <c r="M46" s="8">
        <v>40641741878</v>
      </c>
      <c r="O46" s="8">
        <v>48881973608</v>
      </c>
      <c r="Q46" s="8">
        <v>-8240231730</v>
      </c>
      <c r="S46" s="29"/>
      <c r="T46" s="8"/>
    </row>
    <row r="47" spans="1:20" ht="18.75" customHeight="1" x14ac:dyDescent="0.45">
      <c r="A47" s="10" t="s">
        <v>74</v>
      </c>
      <c r="C47" s="8">
        <f t="shared" si="0"/>
        <v>15790</v>
      </c>
      <c r="E47" s="8">
        <f t="shared" si="1"/>
        <v>51506738719</v>
      </c>
      <c r="F47" s="8"/>
      <c r="G47" s="8">
        <f t="shared" si="2"/>
        <v>60219701133</v>
      </c>
      <c r="I47" s="8">
        <v>-8712962414</v>
      </c>
      <c r="J47" s="8"/>
      <c r="K47" s="8">
        <v>15790</v>
      </c>
      <c r="M47" s="8">
        <v>51506738719</v>
      </c>
      <c r="O47" s="8">
        <v>60219701133</v>
      </c>
      <c r="Q47" s="8">
        <v>-8712962414</v>
      </c>
      <c r="S47" s="29"/>
      <c r="T47" s="8"/>
    </row>
    <row r="48" spans="1:20" ht="18.75" customHeight="1" x14ac:dyDescent="0.45">
      <c r="A48" s="10" t="s">
        <v>179</v>
      </c>
      <c r="C48" s="8">
        <f t="shared" si="0"/>
        <v>110140</v>
      </c>
      <c r="E48" s="8">
        <f t="shared" si="1"/>
        <v>50205347242</v>
      </c>
      <c r="F48" s="8"/>
      <c r="G48" s="8">
        <f t="shared" si="2"/>
        <v>60996214363</v>
      </c>
      <c r="I48" s="8">
        <v>-10790867121</v>
      </c>
      <c r="J48" s="8"/>
      <c r="K48" s="8">
        <v>110140</v>
      </c>
      <c r="M48" s="8">
        <v>50205347242</v>
      </c>
      <c r="O48" s="8">
        <v>60996214363</v>
      </c>
      <c r="Q48" s="8">
        <v>-10790867121</v>
      </c>
      <c r="S48" s="29"/>
      <c r="T48" s="8"/>
    </row>
    <row r="49" spans="1:20" ht="18.75" customHeight="1" x14ac:dyDescent="0.45">
      <c r="A49" s="10" t="s">
        <v>69</v>
      </c>
      <c r="C49" s="8">
        <f t="shared" si="0"/>
        <v>9090</v>
      </c>
      <c r="E49" s="8">
        <f t="shared" si="1"/>
        <v>67342233967</v>
      </c>
      <c r="F49" s="8"/>
      <c r="G49" s="8">
        <f t="shared" si="2"/>
        <v>79922002494</v>
      </c>
      <c r="I49" s="8">
        <v>-12579768527</v>
      </c>
      <c r="J49" s="8"/>
      <c r="K49" s="8">
        <v>9090</v>
      </c>
      <c r="M49" s="8">
        <v>67342233967</v>
      </c>
      <c r="O49" s="8">
        <v>79922002494</v>
      </c>
      <c r="Q49" s="8">
        <v>-12579768527</v>
      </c>
      <c r="S49" s="29"/>
      <c r="T49" s="8"/>
    </row>
    <row r="50" spans="1:20" ht="18.75" customHeight="1" x14ac:dyDescent="0.45">
      <c r="A50" s="10" t="s">
        <v>63</v>
      </c>
      <c r="C50" s="8">
        <f t="shared" si="0"/>
        <v>3388</v>
      </c>
      <c r="E50" s="8">
        <f t="shared" si="1"/>
        <v>91163687425</v>
      </c>
      <c r="F50" s="8"/>
      <c r="G50" s="8">
        <f t="shared" si="2"/>
        <v>106237925090</v>
      </c>
      <c r="I50" s="8">
        <v>-15074237665</v>
      </c>
      <c r="J50" s="8"/>
      <c r="K50" s="8">
        <v>3388</v>
      </c>
      <c r="M50" s="8">
        <v>91163687425</v>
      </c>
      <c r="O50" s="8">
        <v>106237925090</v>
      </c>
      <c r="Q50" s="8">
        <v>-15074237665</v>
      </c>
      <c r="S50" s="29"/>
      <c r="T50" s="8"/>
    </row>
    <row r="51" spans="1:20" s="62" customFormat="1" ht="18.75" customHeight="1" x14ac:dyDescent="0.45">
      <c r="A51" s="10" t="s">
        <v>191</v>
      </c>
      <c r="C51" s="8">
        <f t="shared" si="0"/>
        <v>5409</v>
      </c>
      <c r="E51" s="8">
        <f t="shared" si="1"/>
        <v>34062317908</v>
      </c>
      <c r="F51" s="8"/>
      <c r="G51" s="8">
        <f t="shared" si="2"/>
        <v>34801121476</v>
      </c>
      <c r="I51" s="8">
        <v>-738803568</v>
      </c>
      <c r="J51" s="8"/>
      <c r="K51" s="8">
        <v>5409</v>
      </c>
      <c r="M51" s="8">
        <v>34062317908</v>
      </c>
      <c r="O51" s="8">
        <v>34801121476</v>
      </c>
      <c r="Q51" s="8">
        <v>-738803568</v>
      </c>
      <c r="R51" s="2"/>
      <c r="S51" s="29"/>
      <c r="T51" s="8"/>
    </row>
    <row r="52" spans="1:20" s="62" customFormat="1" ht="18.75" customHeight="1" x14ac:dyDescent="0.45">
      <c r="A52" s="10" t="s">
        <v>192</v>
      </c>
      <c r="C52" s="8">
        <f t="shared" si="0"/>
        <v>1720</v>
      </c>
      <c r="E52" s="8">
        <f t="shared" si="1"/>
        <v>7583348102</v>
      </c>
      <c r="F52" s="8"/>
      <c r="G52" s="8">
        <f t="shared" si="2"/>
        <v>10072520720</v>
      </c>
      <c r="I52" s="8">
        <v>-2489172618</v>
      </c>
      <c r="J52" s="8"/>
      <c r="K52" s="8">
        <v>1720</v>
      </c>
      <c r="M52" s="8">
        <v>7583348102</v>
      </c>
      <c r="O52" s="8">
        <v>10072520720</v>
      </c>
      <c r="Q52" s="8">
        <v>-2489172618</v>
      </c>
      <c r="R52" s="2"/>
      <c r="S52" s="29"/>
      <c r="T52" s="8"/>
    </row>
    <row r="53" spans="1:20" ht="18.75" customHeight="1" thickBot="1" x14ac:dyDescent="0.5">
      <c r="A53" s="72" t="s">
        <v>1</v>
      </c>
      <c r="C53" s="8"/>
      <c r="E53" s="5">
        <f>SUM(E42:E52)</f>
        <v>623581092445</v>
      </c>
      <c r="G53" s="5">
        <f>SUM(G42:G52)</f>
        <v>705932914786</v>
      </c>
      <c r="I53" s="5">
        <f>SUM(I9:I52)</f>
        <v>-119325269446</v>
      </c>
      <c r="K53" s="5">
        <f>SUM(K42:K52)</f>
        <v>315951</v>
      </c>
      <c r="M53" s="5">
        <f>SUM(M42:M52)</f>
        <v>623581092445</v>
      </c>
      <c r="O53" s="5">
        <f>SUM(O42:O52)</f>
        <v>705932914786</v>
      </c>
      <c r="Q53" s="5">
        <f>SUM(Q9:Q52)</f>
        <v>-119325269446</v>
      </c>
      <c r="S53" s="29"/>
      <c r="T53" s="8"/>
    </row>
    <row r="54" spans="1:20" ht="18.75" customHeight="1" thickTop="1" x14ac:dyDescent="0.45">
      <c r="A54" s="87" t="s">
        <v>53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9"/>
      <c r="S54" s="29"/>
      <c r="T54" s="8"/>
    </row>
    <row r="55" spans="1:20" ht="22.5" x14ac:dyDescent="0.45">
      <c r="S55" s="29"/>
      <c r="T55" s="8"/>
    </row>
    <row r="56" spans="1:20" ht="22.5" x14ac:dyDescent="0.45">
      <c r="E56" s="17"/>
      <c r="M56" s="2"/>
      <c r="Q56" s="29"/>
      <c r="S56" s="29"/>
      <c r="T56" s="8"/>
    </row>
    <row r="57" spans="1:20" ht="22.5" x14ac:dyDescent="0.45">
      <c r="E57" s="17"/>
      <c r="M57" s="2"/>
      <c r="S57" s="29"/>
      <c r="T57" s="8"/>
    </row>
    <row r="58" spans="1:20" ht="22.5" x14ac:dyDescent="0.45">
      <c r="M58" s="2"/>
      <c r="S58" s="29"/>
      <c r="T58" s="8"/>
    </row>
    <row r="59" spans="1:20" x14ac:dyDescent="0.45">
      <c r="S59" s="29"/>
    </row>
    <row r="60" spans="1:20" x14ac:dyDescent="0.45">
      <c r="S60" s="29"/>
    </row>
    <row r="61" spans="1:20" x14ac:dyDescent="0.45">
      <c r="S61" s="29"/>
    </row>
    <row r="62" spans="1:20" x14ac:dyDescent="0.45">
      <c r="S62" s="29"/>
    </row>
    <row r="63" spans="1:20" x14ac:dyDescent="0.45">
      <c r="S63" s="29"/>
    </row>
    <row r="64" spans="1:20" x14ac:dyDescent="0.45">
      <c r="S64" s="29"/>
    </row>
    <row r="65" spans="19:19" x14ac:dyDescent="0.45">
      <c r="S65" s="29"/>
    </row>
    <row r="66" spans="19:19" x14ac:dyDescent="0.45">
      <c r="S66" s="29"/>
    </row>
    <row r="67" spans="19:19" x14ac:dyDescent="0.45">
      <c r="S67" s="29"/>
    </row>
    <row r="68" spans="19:19" x14ac:dyDescent="0.45">
      <c r="S68" s="29"/>
    </row>
    <row r="69" spans="19:19" x14ac:dyDescent="0.45">
      <c r="S69" s="29"/>
    </row>
    <row r="70" spans="19:19" x14ac:dyDescent="0.45">
      <c r="S70" s="29"/>
    </row>
    <row r="71" spans="19:19" x14ac:dyDescent="0.45">
      <c r="S71" s="29"/>
    </row>
    <row r="72" spans="19:19" x14ac:dyDescent="0.45">
      <c r="S72" s="29"/>
    </row>
    <row r="73" spans="19:19" x14ac:dyDescent="0.45">
      <c r="S73" s="29"/>
    </row>
    <row r="74" spans="19:19" x14ac:dyDescent="0.45">
      <c r="S74" s="29"/>
    </row>
    <row r="75" spans="19:19" x14ac:dyDescent="0.45">
      <c r="S75" s="29"/>
    </row>
    <row r="76" spans="19:19" x14ac:dyDescent="0.45">
      <c r="S76" s="29"/>
    </row>
    <row r="77" spans="19:19" x14ac:dyDescent="0.45">
      <c r="S77" s="29"/>
    </row>
    <row r="78" spans="19:19" x14ac:dyDescent="0.45">
      <c r="S78" s="29"/>
    </row>
    <row r="79" spans="19:19" x14ac:dyDescent="0.45">
      <c r="S79" s="29"/>
    </row>
    <row r="80" spans="19:19" x14ac:dyDescent="0.45">
      <c r="S80" s="29"/>
    </row>
    <row r="81" spans="19:21" x14ac:dyDescent="0.45">
      <c r="S81" s="29"/>
    </row>
    <row r="82" spans="19:21" x14ac:dyDescent="0.45">
      <c r="S82" s="29"/>
    </row>
    <row r="83" spans="19:21" x14ac:dyDescent="0.45">
      <c r="S83" s="29"/>
    </row>
    <row r="84" spans="19:21" x14ac:dyDescent="0.45">
      <c r="S84" s="29"/>
      <c r="U84" s="2"/>
    </row>
    <row r="85" spans="19:21" x14ac:dyDescent="0.45">
      <c r="S85" s="29"/>
      <c r="U85" s="2"/>
    </row>
  </sheetData>
  <mergeCells count="7">
    <mergeCell ref="A54:Q54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45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B2B19-A196-4D1F-ABE4-37E0098B871E}">
  <sheetPr>
    <pageSetUpPr fitToPage="1"/>
  </sheetPr>
  <dimension ref="A1:K19"/>
  <sheetViews>
    <sheetView rightToLeft="1" view="pageBreakPreview" zoomScale="130" zoomScaleNormal="100" zoomScaleSheetLayoutView="130" workbookViewId="0">
      <selection activeCell="I8" sqref="I8"/>
    </sheetView>
  </sheetViews>
  <sheetFormatPr defaultColWidth="9.125" defaultRowHeight="18" x14ac:dyDescent="0.45"/>
  <cols>
    <col min="1" max="1" width="36.875" style="1" customWidth="1"/>
    <col min="2" max="2" width="1.375" style="1" customWidth="1"/>
    <col min="3" max="3" width="26" style="1" customWidth="1"/>
    <col min="4" max="4" width="1.375" style="1" customWidth="1"/>
    <col min="5" max="5" width="20.125" style="1" customWidth="1"/>
    <col min="6" max="6" width="1.375" style="1" customWidth="1"/>
    <col min="7" max="7" width="14.125" style="1" customWidth="1"/>
    <col min="8" max="8" width="1.375" style="1" customWidth="1"/>
    <col min="9" max="9" width="21" style="1" customWidth="1"/>
    <col min="10" max="10" width="1.375" style="1" customWidth="1"/>
    <col min="11" max="11" width="14.125" style="1" customWidth="1"/>
    <col min="12" max="16384" width="9.125" style="1"/>
  </cols>
  <sheetData>
    <row r="1" spans="1:11" s="54" customFormat="1" ht="20.100000000000001" customHeight="1" x14ac:dyDescent="0.45">
      <c r="A1" s="74" t="s">
        <v>91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20.100000000000001" customHeight="1" x14ac:dyDescent="0.45">
      <c r="A2" s="76" t="s">
        <v>135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0.100000000000001" customHeight="1" x14ac:dyDescent="0.45">
      <c r="A3" s="76" t="s">
        <v>159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5" spans="1:11" ht="21" x14ac:dyDescent="0.45">
      <c r="A5" s="86" t="s">
        <v>58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7" spans="1:11" ht="21" x14ac:dyDescent="0.45">
      <c r="A7" s="78" t="s">
        <v>59</v>
      </c>
      <c r="B7" s="79"/>
      <c r="C7" s="79"/>
      <c r="E7" s="78" t="s">
        <v>111</v>
      </c>
      <c r="F7" s="79"/>
      <c r="G7" s="79"/>
      <c r="I7" s="78" t="s">
        <v>202</v>
      </c>
      <c r="J7" s="79"/>
      <c r="K7" s="79"/>
    </row>
    <row r="8" spans="1:11" ht="42" x14ac:dyDescent="0.45">
      <c r="A8" s="15" t="s">
        <v>60</v>
      </c>
      <c r="C8" s="15" t="s">
        <v>16</v>
      </c>
      <c r="E8" s="15" t="s">
        <v>61</v>
      </c>
      <c r="G8" s="15" t="s">
        <v>62</v>
      </c>
      <c r="I8" s="15" t="s">
        <v>61</v>
      </c>
      <c r="K8" s="15" t="s">
        <v>62</v>
      </c>
    </row>
    <row r="9" spans="1:11" ht="18" customHeight="1" x14ac:dyDescent="0.45">
      <c r="A9" s="16" t="s">
        <v>109</v>
      </c>
      <c r="C9" s="9" t="s">
        <v>97</v>
      </c>
      <c r="E9" s="8">
        <v>3560</v>
      </c>
      <c r="G9" s="32">
        <f t="shared" ref="G9:G14" si="0">E9/E$15</f>
        <v>9.7790296400740239E-5</v>
      </c>
      <c r="H9" s="9"/>
      <c r="I9" s="8">
        <v>3560</v>
      </c>
      <c r="K9" s="7">
        <f t="shared" ref="K9:K14" si="1">I9/I$15</f>
        <v>9.7790296400740239E-5</v>
      </c>
    </row>
    <row r="10" spans="1:11" ht="18" customHeight="1" x14ac:dyDescent="0.45">
      <c r="A10" s="16" t="s">
        <v>109</v>
      </c>
      <c r="C10" s="9" t="s">
        <v>98</v>
      </c>
      <c r="E10" s="8">
        <v>2230</v>
      </c>
      <c r="G10" s="23">
        <f t="shared" si="0"/>
        <v>6.1256281172373807E-5</v>
      </c>
      <c r="H10" s="9"/>
      <c r="I10" s="8">
        <v>2230</v>
      </c>
      <c r="K10" s="7">
        <f t="shared" si="1"/>
        <v>6.1256281172373807E-5</v>
      </c>
    </row>
    <row r="11" spans="1:11" ht="18" customHeight="1" x14ac:dyDescent="0.45">
      <c r="A11" s="16" t="s">
        <v>109</v>
      </c>
      <c r="C11" s="9" t="s">
        <v>96</v>
      </c>
      <c r="E11" s="8">
        <v>1540</v>
      </c>
      <c r="G11" s="32">
        <f t="shared" si="0"/>
        <v>4.2302543948634822E-5</v>
      </c>
      <c r="H11" s="9"/>
      <c r="I11" s="8">
        <v>1540</v>
      </c>
      <c r="K11" s="7">
        <f t="shared" si="1"/>
        <v>4.2302543948634822E-5</v>
      </c>
    </row>
    <row r="12" spans="1:11" ht="18" customHeight="1" x14ac:dyDescent="0.45">
      <c r="A12" s="16" t="s">
        <v>194</v>
      </c>
      <c r="C12" s="9" t="s">
        <v>99</v>
      </c>
      <c r="E12" s="8">
        <v>2157</v>
      </c>
      <c r="G12" s="32">
        <f t="shared" si="0"/>
        <v>5.9251030712470984E-5</v>
      </c>
      <c r="H12" s="9"/>
      <c r="I12" s="8">
        <v>2157</v>
      </c>
      <c r="K12" s="7">
        <f t="shared" si="1"/>
        <v>5.9251030712470984E-5</v>
      </c>
    </row>
    <row r="13" spans="1:11" ht="18" customHeight="1" x14ac:dyDescent="0.45">
      <c r="A13" s="16" t="s">
        <v>110</v>
      </c>
      <c r="C13" s="9" t="s">
        <v>100</v>
      </c>
      <c r="E13" s="8">
        <v>36356303</v>
      </c>
      <c r="G13" s="23">
        <f t="shared" si="0"/>
        <v>0.99867799056323636</v>
      </c>
      <c r="H13" s="9"/>
      <c r="I13" s="8">
        <v>36356303</v>
      </c>
      <c r="K13" s="7">
        <f t="shared" si="1"/>
        <v>0.99867799056323636</v>
      </c>
    </row>
    <row r="14" spans="1:11" ht="18" customHeight="1" x14ac:dyDescent="0.45">
      <c r="A14" s="16" t="s">
        <v>109</v>
      </c>
      <c r="C14" s="9" t="s">
        <v>101</v>
      </c>
      <c r="E14" s="8">
        <v>38640</v>
      </c>
      <c r="G14" s="31">
        <f t="shared" si="0"/>
        <v>1.0614092845293828E-3</v>
      </c>
      <c r="H14" s="9"/>
      <c r="I14" s="8">
        <v>38640</v>
      </c>
      <c r="K14" s="7">
        <f t="shared" si="1"/>
        <v>1.0614092845293828E-3</v>
      </c>
    </row>
    <row r="15" spans="1:11" ht="23.25" thickBot="1" x14ac:dyDescent="0.5">
      <c r="A15" s="6" t="s">
        <v>1</v>
      </c>
      <c r="E15" s="5">
        <f>SUM(E9:E14)</f>
        <v>36404430</v>
      </c>
      <c r="G15" s="22">
        <f>SUM(G9:G14)</f>
        <v>0.99999999999999989</v>
      </c>
      <c r="I15" s="5">
        <f>SUM(I9:I14)</f>
        <v>36404430</v>
      </c>
      <c r="K15" s="22">
        <f>SUM(K9:K14)</f>
        <v>0.99999999999999989</v>
      </c>
    </row>
    <row r="16" spans="1:11" ht="19.5" thickTop="1" x14ac:dyDescent="0.45">
      <c r="E16" s="3"/>
      <c r="G16" s="3"/>
      <c r="I16" s="3"/>
      <c r="K16" s="3"/>
    </row>
    <row r="18" spans="5:9" x14ac:dyDescent="0.45">
      <c r="E18" s="2"/>
      <c r="I18" s="2"/>
    </row>
    <row r="19" spans="5:9" x14ac:dyDescent="0.45">
      <c r="E19" s="2"/>
      <c r="I19" s="2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5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3F6C1-7F8C-4003-90AF-3481A9889DC4}">
  <dimension ref="A1:S22"/>
  <sheetViews>
    <sheetView rightToLeft="1" view="pageBreakPreview" zoomScaleNormal="100" zoomScaleSheetLayoutView="100" workbookViewId="0">
      <selection activeCell="A9" sqref="A9:A11"/>
    </sheetView>
  </sheetViews>
  <sheetFormatPr defaultColWidth="9.125" defaultRowHeight="18" x14ac:dyDescent="0.45"/>
  <cols>
    <col min="1" max="1" width="30.375" style="46" bestFit="1" customWidth="1"/>
    <col min="2" max="2" width="1.375" style="1" customWidth="1"/>
    <col min="3" max="3" width="13.375" style="1" bestFit="1" customWidth="1"/>
    <col min="4" max="4" width="1.375" style="1" customWidth="1"/>
    <col min="5" max="5" width="16.25" style="1" bestFit="1" customWidth="1"/>
    <col min="6" max="6" width="1.375" style="1" customWidth="1"/>
    <col min="7" max="7" width="10.75" style="1" bestFit="1" customWidth="1"/>
    <col min="8" max="8" width="1.375" style="1" customWidth="1"/>
    <col min="9" max="9" width="22" style="1" bestFit="1" customWidth="1"/>
    <col min="10" max="10" width="1.375" style="1" customWidth="1"/>
    <col min="11" max="11" width="18.125" style="1" bestFit="1" customWidth="1"/>
    <col min="12" max="12" width="1.375" style="1" customWidth="1"/>
    <col min="13" max="13" width="22" style="1" bestFit="1" customWidth="1"/>
    <col min="14" max="14" width="1.375" style="1" customWidth="1"/>
    <col min="15" max="15" width="23.625" style="1" bestFit="1" customWidth="1"/>
    <col min="16" max="16" width="1.375" style="1" customWidth="1"/>
    <col min="17" max="17" width="18.25" style="1" bestFit="1" customWidth="1"/>
    <col min="18" max="18" width="1.375" style="1" customWidth="1"/>
    <col min="19" max="19" width="23.625" style="1" bestFit="1" customWidth="1"/>
    <col min="20" max="16384" width="9.125" style="1"/>
  </cols>
  <sheetData>
    <row r="1" spans="1:19" s="54" customFormat="1" ht="20.100000000000001" customHeight="1" x14ac:dyDescent="0.45">
      <c r="A1" s="74" t="s">
        <v>91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9" ht="20.100000000000001" customHeight="1" x14ac:dyDescent="0.45">
      <c r="A2" s="76" t="s">
        <v>135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20.100000000000001" customHeight="1" x14ac:dyDescent="0.45">
      <c r="A3" s="76" t="s">
        <v>159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5" spans="1:19" ht="21" x14ac:dyDescent="0.45">
      <c r="A5" s="86" t="s">
        <v>39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</row>
    <row r="7" spans="1:19" ht="21" x14ac:dyDescent="0.45">
      <c r="C7" s="78" t="s">
        <v>40</v>
      </c>
      <c r="D7" s="79"/>
      <c r="E7" s="79"/>
      <c r="F7" s="79"/>
      <c r="G7" s="79"/>
      <c r="I7" s="78" t="s">
        <v>111</v>
      </c>
      <c r="J7" s="79"/>
      <c r="K7" s="79"/>
      <c r="L7" s="79"/>
      <c r="M7" s="79"/>
      <c r="O7" s="78" t="s">
        <v>202</v>
      </c>
      <c r="P7" s="79"/>
      <c r="Q7" s="79"/>
      <c r="R7" s="79"/>
      <c r="S7" s="79"/>
    </row>
    <row r="8" spans="1:19" ht="42" x14ac:dyDescent="0.55000000000000004">
      <c r="A8" s="47" t="s">
        <v>13</v>
      </c>
      <c r="C8" s="15" t="s">
        <v>41</v>
      </c>
      <c r="E8" s="15" t="s">
        <v>42</v>
      </c>
      <c r="G8" s="15" t="s">
        <v>43</v>
      </c>
      <c r="I8" s="15" t="s">
        <v>44</v>
      </c>
      <c r="K8" s="15" t="s">
        <v>37</v>
      </c>
      <c r="M8" s="15" t="s">
        <v>45</v>
      </c>
      <c r="O8" s="15" t="s">
        <v>44</v>
      </c>
      <c r="Q8" s="15" t="s">
        <v>37</v>
      </c>
      <c r="S8" s="15" t="s">
        <v>45</v>
      </c>
    </row>
    <row r="9" spans="1:19" ht="23.25" customHeight="1" x14ac:dyDescent="0.45">
      <c r="A9" s="48" t="s">
        <v>79</v>
      </c>
      <c r="C9" s="9" t="s">
        <v>46</v>
      </c>
      <c r="E9" s="8">
        <v>1000000</v>
      </c>
      <c r="G9" s="8">
        <f t="shared" ref="G9:G15" si="0">I9/E9</f>
        <v>3688.3</v>
      </c>
      <c r="I9" s="8">
        <v>3688300000</v>
      </c>
      <c r="K9" s="8">
        <f>-507604195</f>
        <v>-507604195</v>
      </c>
      <c r="M9" s="8">
        <f>I9+K9</f>
        <v>3180695805</v>
      </c>
      <c r="N9" s="9"/>
      <c r="O9" s="8">
        <v>3688300000</v>
      </c>
      <c r="Q9" s="8">
        <f>K9</f>
        <v>-507604195</v>
      </c>
      <c r="S9" s="8">
        <f>O9+Q9</f>
        <v>3180695805</v>
      </c>
    </row>
    <row r="10" spans="1:19" s="62" customFormat="1" ht="23.25" customHeight="1" x14ac:dyDescent="0.45">
      <c r="A10" s="48" t="s">
        <v>87</v>
      </c>
      <c r="C10" s="63" t="s">
        <v>195</v>
      </c>
      <c r="E10" s="8">
        <v>3402534</v>
      </c>
      <c r="G10" s="8">
        <f t="shared" si="0"/>
        <v>140</v>
      </c>
      <c r="I10" s="8">
        <v>476354760</v>
      </c>
      <c r="K10" s="8">
        <v>0</v>
      </c>
      <c r="M10" s="8">
        <f t="shared" ref="M10:M16" si="1">I10+K10</f>
        <v>476354760</v>
      </c>
      <c r="N10" s="63"/>
      <c r="O10" s="8">
        <v>476354760</v>
      </c>
      <c r="Q10" s="8">
        <f t="shared" ref="Q10:Q17" si="2">K10</f>
        <v>0</v>
      </c>
      <c r="S10" s="8">
        <f t="shared" ref="S10:S16" si="3">O10+Q10</f>
        <v>476354760</v>
      </c>
    </row>
    <row r="11" spans="1:19" s="62" customFormat="1" ht="23.25" customHeight="1" x14ac:dyDescent="0.45">
      <c r="A11" s="48" t="s">
        <v>88</v>
      </c>
      <c r="C11" s="63" t="s">
        <v>200</v>
      </c>
      <c r="E11" s="8">
        <v>1</v>
      </c>
      <c r="G11" s="8">
        <f t="shared" si="0"/>
        <v>400</v>
      </c>
      <c r="I11" s="8">
        <v>400</v>
      </c>
      <c r="K11" s="8">
        <v>0</v>
      </c>
      <c r="M11" s="8">
        <f t="shared" si="1"/>
        <v>400</v>
      </c>
      <c r="N11" s="63"/>
      <c r="O11" s="8">
        <v>400</v>
      </c>
      <c r="Q11" s="8">
        <f t="shared" si="2"/>
        <v>0</v>
      </c>
      <c r="S11" s="8">
        <f t="shared" si="3"/>
        <v>400</v>
      </c>
    </row>
    <row r="12" spans="1:19" s="62" customFormat="1" ht="23.25" customHeight="1" x14ac:dyDescent="0.45">
      <c r="A12" s="48" t="s">
        <v>78</v>
      </c>
      <c r="C12" s="63" t="s">
        <v>196</v>
      </c>
      <c r="E12" s="8">
        <v>2147553</v>
      </c>
      <c r="G12" s="8">
        <f t="shared" si="0"/>
        <v>3050</v>
      </c>
      <c r="I12" s="8">
        <v>6550036650</v>
      </c>
      <c r="K12" s="8">
        <f>-97234020</f>
        <v>-97234020</v>
      </c>
      <c r="M12" s="8">
        <f t="shared" si="1"/>
        <v>6452802630</v>
      </c>
      <c r="N12" s="63"/>
      <c r="O12" s="8">
        <v>6550036650</v>
      </c>
      <c r="Q12" s="8">
        <f t="shared" si="2"/>
        <v>-97234020</v>
      </c>
      <c r="S12" s="8">
        <f t="shared" si="3"/>
        <v>6452802630</v>
      </c>
    </row>
    <row r="13" spans="1:19" s="62" customFormat="1" ht="23.25" customHeight="1" x14ac:dyDescent="0.45">
      <c r="A13" s="48" t="s">
        <v>179</v>
      </c>
      <c r="C13" s="63" t="s">
        <v>198</v>
      </c>
      <c r="E13" s="8">
        <f>360000</f>
        <v>360000</v>
      </c>
      <c r="G13" s="8">
        <f t="shared" si="0"/>
        <v>13200</v>
      </c>
      <c r="I13" s="8">
        <v>4752000000</v>
      </c>
      <c r="K13" s="8">
        <f>-641857824</f>
        <v>-641857824</v>
      </c>
      <c r="M13" s="8">
        <f t="shared" si="1"/>
        <v>4110142176</v>
      </c>
      <c r="N13" s="63"/>
      <c r="O13" s="8">
        <v>4752000000</v>
      </c>
      <c r="Q13" s="8">
        <f t="shared" si="2"/>
        <v>-641857824</v>
      </c>
      <c r="S13" s="8">
        <f t="shared" si="3"/>
        <v>4110142176</v>
      </c>
    </row>
    <row r="14" spans="1:19" s="62" customFormat="1" ht="23.25" customHeight="1" x14ac:dyDescent="0.45">
      <c r="A14" s="48" t="s">
        <v>86</v>
      </c>
      <c r="C14" s="63" t="s">
        <v>199</v>
      </c>
      <c r="E14" s="8">
        <f>525000</f>
        <v>525000</v>
      </c>
      <c r="G14" s="8">
        <f t="shared" si="0"/>
        <v>5314.0310857142858</v>
      </c>
      <c r="I14" s="8">
        <v>2789866320</v>
      </c>
      <c r="K14" s="8">
        <f>-382534865</f>
        <v>-382534865</v>
      </c>
      <c r="M14" s="8">
        <f t="shared" si="1"/>
        <v>2407331455</v>
      </c>
      <c r="N14" s="63"/>
      <c r="O14" s="8">
        <v>2789866320</v>
      </c>
      <c r="Q14" s="8">
        <f t="shared" si="2"/>
        <v>-382534865</v>
      </c>
      <c r="S14" s="8">
        <f t="shared" si="3"/>
        <v>2407331455</v>
      </c>
    </row>
    <row r="15" spans="1:19" s="62" customFormat="1" ht="23.25" customHeight="1" x14ac:dyDescent="0.45">
      <c r="A15" s="48" t="s">
        <v>176</v>
      </c>
      <c r="C15" s="63" t="s">
        <v>197</v>
      </c>
      <c r="E15" s="8">
        <f>250000</f>
        <v>250000</v>
      </c>
      <c r="G15" s="8">
        <f t="shared" si="0"/>
        <v>4200</v>
      </c>
      <c r="I15" s="8">
        <v>1050000000</v>
      </c>
      <c r="K15" s="8">
        <f>-55191438</f>
        <v>-55191438</v>
      </c>
      <c r="M15" s="8">
        <f t="shared" si="1"/>
        <v>994808562</v>
      </c>
      <c r="N15" s="63"/>
      <c r="O15" s="8">
        <v>1050000000</v>
      </c>
      <c r="Q15" s="8">
        <f t="shared" si="2"/>
        <v>-55191438</v>
      </c>
      <c r="S15" s="8">
        <f t="shared" si="3"/>
        <v>994808562</v>
      </c>
    </row>
    <row r="16" spans="1:19" s="62" customFormat="1" ht="23.25" customHeight="1" x14ac:dyDescent="0.45">
      <c r="A16" s="48" t="s">
        <v>178</v>
      </c>
      <c r="C16" s="63" t="s">
        <v>196</v>
      </c>
      <c r="E16" s="8">
        <f>3000000</f>
        <v>3000000</v>
      </c>
      <c r="G16" s="8">
        <f>I16/E16</f>
        <v>500</v>
      </c>
      <c r="I16" s="8">
        <v>1500000000</v>
      </c>
      <c r="K16" s="8">
        <f>-203374780</f>
        <v>-203374780</v>
      </c>
      <c r="M16" s="8">
        <f t="shared" si="1"/>
        <v>1296625220</v>
      </c>
      <c r="N16" s="63"/>
      <c r="O16" s="8">
        <v>1500000000</v>
      </c>
      <c r="Q16" s="8">
        <f t="shared" si="2"/>
        <v>-203374780</v>
      </c>
      <c r="S16" s="8">
        <f t="shared" si="3"/>
        <v>1296625220</v>
      </c>
    </row>
    <row r="17" spans="1:19" ht="23.25" customHeight="1" x14ac:dyDescent="0.45">
      <c r="A17" s="48" t="s">
        <v>124</v>
      </c>
      <c r="C17" s="63" t="s">
        <v>195</v>
      </c>
      <c r="E17" s="8">
        <f>1000000</f>
        <v>1000000</v>
      </c>
      <c r="G17" s="8">
        <f>I17/E17</f>
        <v>600</v>
      </c>
      <c r="I17" s="8">
        <v>600000000</v>
      </c>
      <c r="K17" s="8">
        <f>-82575311</f>
        <v>-82575311</v>
      </c>
      <c r="M17" s="8">
        <f t="shared" ref="M17" si="4">I17+K17</f>
        <v>517424689</v>
      </c>
      <c r="N17" s="9"/>
      <c r="O17" s="8">
        <v>600000000</v>
      </c>
      <c r="Q17" s="8">
        <f t="shared" si="2"/>
        <v>-82575311</v>
      </c>
      <c r="S17" s="8">
        <f t="shared" ref="S17" si="5">O17+Q17</f>
        <v>517424689</v>
      </c>
    </row>
    <row r="18" spans="1:19" ht="23.25" thickBot="1" x14ac:dyDescent="0.5">
      <c r="A18" s="49" t="s">
        <v>154</v>
      </c>
      <c r="I18" s="5">
        <f>SUM(I9:I17)</f>
        <v>21406558130</v>
      </c>
      <c r="K18" s="5">
        <f>SUM(K9:K17)</f>
        <v>-1970372433</v>
      </c>
      <c r="M18" s="5">
        <f>SUM(M9:M17)</f>
        <v>19436185697</v>
      </c>
      <c r="O18" s="5">
        <f>SUM(O9:O17)</f>
        <v>21406558130</v>
      </c>
      <c r="Q18" s="5">
        <f>SUM(Q9:Q17)</f>
        <v>-1970372433</v>
      </c>
      <c r="S18" s="5">
        <f>SUM(S9:S17)</f>
        <v>19436185697</v>
      </c>
    </row>
    <row r="19" spans="1:19" ht="19.5" thickTop="1" x14ac:dyDescent="0.45">
      <c r="I19" s="3"/>
      <c r="K19" s="3"/>
      <c r="M19" s="3"/>
      <c r="O19" s="3"/>
      <c r="Q19" s="3"/>
      <c r="S19" s="3"/>
    </row>
    <row r="21" spans="1:19" x14ac:dyDescent="0.45">
      <c r="S21" s="2"/>
    </row>
    <row r="22" spans="1:19" x14ac:dyDescent="0.45">
      <c r="S22" s="2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46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EF44-DBCF-4D34-93DD-BABCC5FAECC7}">
  <sheetPr>
    <pageSetUpPr fitToPage="1"/>
  </sheetPr>
  <dimension ref="A1:U76"/>
  <sheetViews>
    <sheetView rightToLeft="1" tabSelected="1" view="pageBreakPreview" topLeftCell="A46" zoomScale="85" zoomScaleNormal="100" zoomScaleSheetLayoutView="85" workbookViewId="0">
      <selection activeCell="S65" sqref="S65"/>
    </sheetView>
  </sheetViews>
  <sheetFormatPr defaultColWidth="9.125" defaultRowHeight="18" x14ac:dyDescent="0.45"/>
  <cols>
    <col min="1" max="1" width="36.375" style="46" customWidth="1"/>
    <col min="2" max="2" width="1.375" style="1" customWidth="1"/>
    <col min="3" max="3" width="22" style="1" bestFit="1" customWidth="1"/>
    <col min="4" max="4" width="1.375" style="1" customWidth="1"/>
    <col min="5" max="5" width="23.625" style="1" bestFit="1" customWidth="1"/>
    <col min="6" max="6" width="1.375" style="1" customWidth="1"/>
    <col min="7" max="7" width="22" style="1" bestFit="1" customWidth="1"/>
    <col min="8" max="8" width="1.375" style="1" customWidth="1"/>
    <col min="9" max="9" width="23.625" style="1" bestFit="1" customWidth="1"/>
    <col min="10" max="10" width="1.375" style="1" customWidth="1"/>
    <col min="11" max="11" width="23.625" style="1" bestFit="1" customWidth="1"/>
    <col min="12" max="12" width="1.375" style="1" customWidth="1"/>
    <col min="13" max="13" width="23.625" style="1" bestFit="1" customWidth="1"/>
    <col min="14" max="14" width="1.375" style="1" customWidth="1"/>
    <col min="15" max="15" width="23.625" style="1" bestFit="1" customWidth="1"/>
    <col min="16" max="16" width="1.375" style="1" customWidth="1"/>
    <col min="17" max="17" width="23.625" style="1" bestFit="1" customWidth="1"/>
    <col min="18" max="18" width="1.375" style="1" customWidth="1"/>
    <col min="19" max="19" width="10.625" style="1" bestFit="1" customWidth="1"/>
    <col min="20" max="20" width="9.125" style="1"/>
    <col min="21" max="21" width="18.375" style="1" hidden="1" customWidth="1"/>
    <col min="22" max="16384" width="9.125" style="1"/>
  </cols>
  <sheetData>
    <row r="1" spans="1:21" s="54" customFormat="1" ht="20.100000000000001" customHeight="1" x14ac:dyDescent="0.45">
      <c r="A1" s="74" t="s">
        <v>91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21" ht="20.100000000000001" customHeight="1" x14ac:dyDescent="0.45">
      <c r="A2" s="76" t="s">
        <v>135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21" ht="20.100000000000001" customHeight="1" x14ac:dyDescent="0.45">
      <c r="A3" s="76" t="s">
        <v>159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5" spans="1:21" ht="21" x14ac:dyDescent="0.45">
      <c r="A5" s="86" t="s">
        <v>137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U5" s="2"/>
    </row>
    <row r="6" spans="1:21" x14ac:dyDescent="0.45">
      <c r="U6" s="2"/>
    </row>
    <row r="7" spans="1:21" ht="21" x14ac:dyDescent="0.45">
      <c r="C7" s="78" t="s">
        <v>111</v>
      </c>
      <c r="D7" s="79"/>
      <c r="E7" s="79"/>
      <c r="F7" s="79"/>
      <c r="G7" s="79"/>
      <c r="H7" s="79"/>
      <c r="I7" s="79"/>
      <c r="J7" s="79"/>
      <c r="K7" s="78" t="s">
        <v>202</v>
      </c>
      <c r="L7" s="79"/>
      <c r="M7" s="79"/>
      <c r="N7" s="79"/>
      <c r="O7" s="79"/>
      <c r="P7" s="79"/>
      <c r="Q7" s="79"/>
      <c r="R7" s="79"/>
      <c r="S7" s="79"/>
    </row>
    <row r="8" spans="1:21" ht="42" x14ac:dyDescent="0.55000000000000004">
      <c r="A8" s="47" t="s">
        <v>47</v>
      </c>
      <c r="C8" s="15" t="s">
        <v>116</v>
      </c>
      <c r="E8" s="15" t="s">
        <v>117</v>
      </c>
      <c r="G8" s="15" t="s">
        <v>118</v>
      </c>
      <c r="I8" s="15" t="s">
        <v>48</v>
      </c>
      <c r="K8" s="15" t="s">
        <v>116</v>
      </c>
      <c r="M8" s="20" t="s">
        <v>117</v>
      </c>
      <c r="O8" s="15" t="s">
        <v>118</v>
      </c>
      <c r="Q8" s="15" t="s">
        <v>48</v>
      </c>
      <c r="S8" s="15" t="s">
        <v>49</v>
      </c>
    </row>
    <row r="9" spans="1:21" ht="22.5" x14ac:dyDescent="0.45">
      <c r="A9" s="48" t="s">
        <v>63</v>
      </c>
      <c r="C9" s="8"/>
      <c r="E9" s="8">
        <v>-15074237665</v>
      </c>
      <c r="G9" s="8"/>
      <c r="I9" s="8">
        <f>C9+E9+G9</f>
        <v>-15074237665</v>
      </c>
      <c r="K9" s="8"/>
      <c r="M9" s="8">
        <v>-15074237665</v>
      </c>
      <c r="O9" s="8"/>
      <c r="Q9" s="8">
        <f>K9+M9+O9</f>
        <v>-15074237665</v>
      </c>
      <c r="S9" s="7">
        <f>Q9/درآمدها!E$11</f>
        <v>0.13980610424266918</v>
      </c>
    </row>
    <row r="10" spans="1:21" ht="22.5" x14ac:dyDescent="0.45">
      <c r="A10" s="48" t="s">
        <v>127</v>
      </c>
      <c r="C10" s="8"/>
      <c r="E10" s="8">
        <v>-489238467</v>
      </c>
      <c r="G10" s="8"/>
      <c r="I10" s="8">
        <f t="shared" ref="I10:I63" si="0">C10+E10+G10</f>
        <v>-489238467</v>
      </c>
      <c r="K10" s="8"/>
      <c r="M10" s="8">
        <v>-489238467</v>
      </c>
      <c r="O10" s="8"/>
      <c r="Q10" s="8">
        <f t="shared" ref="Q10:Q63" si="1">K10+M10+O10</f>
        <v>-489238467</v>
      </c>
      <c r="S10" s="7">
        <f>Q10/درآمدها!E$11</f>
        <v>4.5374449864046019E-3</v>
      </c>
    </row>
    <row r="11" spans="1:21" ht="22.5" x14ac:dyDescent="0.45">
      <c r="A11" s="48" t="s">
        <v>87</v>
      </c>
      <c r="C11" s="8">
        <v>476354760</v>
      </c>
      <c r="E11" s="8">
        <v>-1595873057</v>
      </c>
      <c r="G11" s="8"/>
      <c r="I11" s="8">
        <f t="shared" si="0"/>
        <v>-1119518297</v>
      </c>
      <c r="K11" s="8">
        <v>476354760</v>
      </c>
      <c r="M11" s="8">
        <v>-1595873057</v>
      </c>
      <c r="O11" s="8"/>
      <c r="Q11" s="8">
        <f t="shared" si="1"/>
        <v>-1119518297</v>
      </c>
      <c r="S11" s="7">
        <f>Q11/درآمدها!E$11</f>
        <v>1.0382978908138203E-2</v>
      </c>
    </row>
    <row r="12" spans="1:21" ht="22.5" x14ac:dyDescent="0.45">
      <c r="A12" s="48" t="s">
        <v>86</v>
      </c>
      <c r="C12" s="8">
        <v>2407331455</v>
      </c>
      <c r="E12" s="8"/>
      <c r="G12" s="8"/>
      <c r="I12" s="8">
        <f t="shared" si="0"/>
        <v>2407331455</v>
      </c>
      <c r="K12" s="8">
        <v>2407331455</v>
      </c>
      <c r="M12" s="8"/>
      <c r="O12" s="8"/>
      <c r="Q12" s="8">
        <f t="shared" si="1"/>
        <v>2407331455</v>
      </c>
      <c r="S12" s="7">
        <f>Q12/درآمدها!E$11</f>
        <v>-2.2326809476131904E-2</v>
      </c>
    </row>
    <row r="13" spans="1:21" ht="22.5" x14ac:dyDescent="0.45">
      <c r="A13" s="48" t="s">
        <v>90</v>
      </c>
      <c r="C13" s="8"/>
      <c r="E13" s="8">
        <v>-4892775357</v>
      </c>
      <c r="G13" s="8"/>
      <c r="I13" s="8">
        <f t="shared" si="0"/>
        <v>-4892775357</v>
      </c>
      <c r="K13" s="8"/>
      <c r="M13" s="8">
        <v>-4892775357</v>
      </c>
      <c r="O13" s="8"/>
      <c r="Q13" s="8">
        <f t="shared" si="1"/>
        <v>-4892775357</v>
      </c>
      <c r="S13" s="7">
        <f>Q13/درآمدها!E$11</f>
        <v>4.5378073292882827E-2</v>
      </c>
    </row>
    <row r="14" spans="1:21" ht="22.5" x14ac:dyDescent="0.45">
      <c r="A14" s="48" t="s">
        <v>177</v>
      </c>
      <c r="C14" s="8"/>
      <c r="E14" s="8">
        <v>-2288579063</v>
      </c>
      <c r="G14" s="8"/>
      <c r="I14" s="8">
        <f t="shared" si="0"/>
        <v>-2288579063</v>
      </c>
      <c r="K14" s="8"/>
      <c r="M14" s="8">
        <v>-2288579063</v>
      </c>
      <c r="O14" s="8"/>
      <c r="Q14" s="8">
        <f t="shared" si="1"/>
        <v>-2288579063</v>
      </c>
      <c r="S14" s="7">
        <f>Q14/درآمدها!E$11</f>
        <v>2.1225439731009318E-2</v>
      </c>
    </row>
    <row r="15" spans="1:21" ht="22.5" x14ac:dyDescent="0.45">
      <c r="A15" s="48" t="s">
        <v>179</v>
      </c>
      <c r="C15" s="8">
        <v>4110142176</v>
      </c>
      <c r="E15" s="8">
        <v>-10790867121</v>
      </c>
      <c r="G15" s="8"/>
      <c r="I15" s="8">
        <f t="shared" si="0"/>
        <v>-6680724945</v>
      </c>
      <c r="K15" s="8">
        <v>4110142176</v>
      </c>
      <c r="M15" s="8">
        <v>-10790867121</v>
      </c>
      <c r="O15" s="8"/>
      <c r="Q15" s="8">
        <f t="shared" si="1"/>
        <v>-6680724945</v>
      </c>
      <c r="S15" s="7">
        <f>Q15/درآمدها!E$11</f>
        <v>6.1960422068034995E-2</v>
      </c>
    </row>
    <row r="16" spans="1:21" ht="22.5" x14ac:dyDescent="0.45">
      <c r="A16" s="48" t="s">
        <v>73</v>
      </c>
      <c r="C16" s="8"/>
      <c r="E16" s="8">
        <v>1103395500</v>
      </c>
      <c r="G16" s="8"/>
      <c r="I16" s="8">
        <f t="shared" si="0"/>
        <v>1103395500</v>
      </c>
      <c r="K16" s="8"/>
      <c r="M16" s="8">
        <v>1103395500</v>
      </c>
      <c r="O16" s="8"/>
      <c r="Q16" s="8">
        <f t="shared" si="1"/>
        <v>1103395500</v>
      </c>
      <c r="S16" s="7">
        <f>Q16/درآمدها!E$11</f>
        <v>-1.0233447934290088E-2</v>
      </c>
    </row>
    <row r="17" spans="1:19" ht="22.5" x14ac:dyDescent="0.45">
      <c r="A17" s="48" t="s">
        <v>128</v>
      </c>
      <c r="C17" s="8"/>
      <c r="E17" s="8">
        <v>-388666949</v>
      </c>
      <c r="G17" s="8"/>
      <c r="I17" s="8">
        <f t="shared" si="0"/>
        <v>-388666949</v>
      </c>
      <c r="K17" s="8"/>
      <c r="M17" s="8">
        <v>-388666949</v>
      </c>
      <c r="O17" s="8"/>
      <c r="Q17" s="8">
        <f t="shared" si="1"/>
        <v>-388666949</v>
      </c>
      <c r="S17" s="7">
        <f>Q17/درآمدها!E$11</f>
        <v>3.6046938621472359E-3</v>
      </c>
    </row>
    <row r="18" spans="1:19" ht="22.5" x14ac:dyDescent="0.45">
      <c r="A18" s="48" t="s">
        <v>155</v>
      </c>
      <c r="C18" s="8"/>
      <c r="E18" s="8">
        <v>-2036435929</v>
      </c>
      <c r="G18" s="8"/>
      <c r="I18" s="8">
        <f t="shared" si="0"/>
        <v>-2036435929</v>
      </c>
      <c r="K18" s="8"/>
      <c r="M18" s="8">
        <v>-2036435929</v>
      </c>
      <c r="O18" s="8"/>
      <c r="Q18" s="8">
        <f t="shared" si="1"/>
        <v>-2036435929</v>
      </c>
      <c r="S18" s="7">
        <f>Q18/درآمدها!E$11</f>
        <v>1.888693677918676E-2</v>
      </c>
    </row>
    <row r="19" spans="1:19" ht="22.5" x14ac:dyDescent="0.45">
      <c r="A19" s="48" t="s">
        <v>75</v>
      </c>
      <c r="C19" s="8"/>
      <c r="E19" s="8">
        <v>-1940033210</v>
      </c>
      <c r="G19" s="8"/>
      <c r="I19" s="8">
        <f t="shared" si="0"/>
        <v>-1940033210</v>
      </c>
      <c r="K19" s="8"/>
      <c r="M19" s="8">
        <v>-1940033210</v>
      </c>
      <c r="O19" s="8"/>
      <c r="Q19" s="8">
        <f t="shared" si="1"/>
        <v>-1940033210</v>
      </c>
      <c r="S19" s="7">
        <f>Q19/درآمدها!E$11</f>
        <v>1.7992849205320002E-2</v>
      </c>
    </row>
    <row r="20" spans="1:19" ht="22.5" x14ac:dyDescent="0.45">
      <c r="A20" s="48" t="s">
        <v>178</v>
      </c>
      <c r="C20" s="8">
        <v>1296625220</v>
      </c>
      <c r="E20" s="8">
        <v>-2453638502</v>
      </c>
      <c r="G20" s="8"/>
      <c r="I20" s="8">
        <f t="shared" si="0"/>
        <v>-1157013282</v>
      </c>
      <c r="K20" s="8">
        <v>1296625220</v>
      </c>
      <c r="M20" s="8">
        <v>-2453638502</v>
      </c>
      <c r="O20" s="8"/>
      <c r="Q20" s="8">
        <f t="shared" si="1"/>
        <v>-1157013282</v>
      </c>
      <c r="S20" s="7">
        <f>Q20/درآمدها!E$11</f>
        <v>1.0730726362966946E-2</v>
      </c>
    </row>
    <row r="21" spans="1:19" ht="22.5" x14ac:dyDescent="0.45">
      <c r="A21" s="48" t="s">
        <v>175</v>
      </c>
      <c r="C21" s="8"/>
      <c r="E21" s="8">
        <v>-1540577277</v>
      </c>
      <c r="G21" s="8"/>
      <c r="I21" s="8">
        <f t="shared" si="0"/>
        <v>-1540577277</v>
      </c>
      <c r="K21" s="8"/>
      <c r="M21" s="8">
        <v>-1540577277</v>
      </c>
      <c r="O21" s="8"/>
      <c r="Q21" s="8">
        <f t="shared" si="1"/>
        <v>-1540577277</v>
      </c>
      <c r="S21" s="7">
        <f>Q21/درآمدها!E$11</f>
        <v>1.4288092848783502E-2</v>
      </c>
    </row>
    <row r="22" spans="1:19" ht="22.5" x14ac:dyDescent="0.45">
      <c r="A22" s="48" t="s">
        <v>88</v>
      </c>
      <c r="C22" s="8">
        <v>400</v>
      </c>
      <c r="E22" s="8">
        <v>-646</v>
      </c>
      <c r="G22" s="8"/>
      <c r="I22" s="8">
        <f t="shared" si="0"/>
        <v>-246</v>
      </c>
      <c r="K22" s="8">
        <v>400</v>
      </c>
      <c r="M22" s="8">
        <v>-646</v>
      </c>
      <c r="O22" s="8"/>
      <c r="Q22" s="8">
        <f t="shared" si="1"/>
        <v>-246</v>
      </c>
      <c r="S22" s="7">
        <f>Q22/درآمدها!E$11</f>
        <v>2.2815284200772629E-9</v>
      </c>
    </row>
    <row r="23" spans="1:19" ht="22.5" x14ac:dyDescent="0.45">
      <c r="A23" s="48" t="s">
        <v>126</v>
      </c>
      <c r="C23" s="8"/>
      <c r="E23" s="8">
        <v>646132500</v>
      </c>
      <c r="G23" s="8"/>
      <c r="I23" s="8">
        <f t="shared" si="0"/>
        <v>646132500</v>
      </c>
      <c r="K23" s="8"/>
      <c r="M23" s="8">
        <v>646132500</v>
      </c>
      <c r="O23" s="8"/>
      <c r="Q23" s="8">
        <f t="shared" si="1"/>
        <v>646132500</v>
      </c>
      <c r="S23" s="7">
        <f>Q23/درآمدها!E$11</f>
        <v>-5.9925596011608621E-3</v>
      </c>
    </row>
    <row r="24" spans="1:19" ht="22.5" x14ac:dyDescent="0.45">
      <c r="A24" s="48" t="s">
        <v>157</v>
      </c>
      <c r="C24" s="8"/>
      <c r="E24" s="8">
        <v>1434165636</v>
      </c>
      <c r="G24" s="8"/>
      <c r="I24" s="8">
        <f t="shared" si="0"/>
        <v>1434165636</v>
      </c>
      <c r="K24" s="8"/>
      <c r="M24" s="8">
        <v>1434165636</v>
      </c>
      <c r="O24" s="8"/>
      <c r="Q24" s="8">
        <f t="shared" si="1"/>
        <v>1434165636</v>
      </c>
      <c r="S24" s="7">
        <f>Q24/درآمدها!E$11</f>
        <v>-1.3301177470049523E-2</v>
      </c>
    </row>
    <row r="25" spans="1:19" ht="22.5" x14ac:dyDescent="0.45">
      <c r="A25" s="48" t="s">
        <v>74</v>
      </c>
      <c r="C25" s="8"/>
      <c r="E25" s="8">
        <v>-8712962414</v>
      </c>
      <c r="G25" s="8"/>
      <c r="I25" s="8">
        <f t="shared" si="0"/>
        <v>-8712962414</v>
      </c>
      <c r="K25" s="8"/>
      <c r="M25" s="8">
        <v>-8712962414</v>
      </c>
      <c r="O25" s="8"/>
      <c r="Q25" s="8">
        <f t="shared" si="1"/>
        <v>-8712962414</v>
      </c>
      <c r="S25" s="7">
        <f>Q25/درآمدها!E$11</f>
        <v>8.0808420205715423E-2</v>
      </c>
    </row>
    <row r="26" spans="1:19" ht="22.5" x14ac:dyDescent="0.45">
      <c r="A26" s="48" t="s">
        <v>129</v>
      </c>
      <c r="C26" s="8"/>
      <c r="E26" s="8">
        <v>-6513015600</v>
      </c>
      <c r="G26" s="8"/>
      <c r="I26" s="8">
        <f t="shared" si="0"/>
        <v>-6513015600</v>
      </c>
      <c r="K26" s="8"/>
      <c r="M26" s="8">
        <v>-6513015600</v>
      </c>
      <c r="O26" s="8"/>
      <c r="Q26" s="8">
        <f t="shared" si="1"/>
        <v>-6513015600</v>
      </c>
      <c r="S26" s="7">
        <f>Q26/درآمدها!E$11</f>
        <v>6.0405000779701484E-2</v>
      </c>
    </row>
    <row r="27" spans="1:19" ht="22.5" x14ac:dyDescent="0.45">
      <c r="A27" s="48" t="s">
        <v>123</v>
      </c>
      <c r="C27" s="8"/>
      <c r="E27" s="8">
        <v>-2376254417</v>
      </c>
      <c r="G27" s="8"/>
      <c r="I27" s="8">
        <f t="shared" si="0"/>
        <v>-2376254417</v>
      </c>
      <c r="K27" s="8"/>
      <c r="M27" s="8">
        <v>-2376254417</v>
      </c>
      <c r="O27" s="8"/>
      <c r="Q27" s="8">
        <f t="shared" si="1"/>
        <v>-2376254417</v>
      </c>
      <c r="S27" s="7">
        <f>Q27/درآمدها!E$11</f>
        <v>2.2038585307803362E-2</v>
      </c>
    </row>
    <row r="28" spans="1:19" ht="22.5" x14ac:dyDescent="0.45">
      <c r="A28" s="48" t="s">
        <v>130</v>
      </c>
      <c r="C28" s="8"/>
      <c r="E28" s="8">
        <v>-1136295388</v>
      </c>
      <c r="G28" s="8"/>
      <c r="I28" s="8">
        <f t="shared" si="0"/>
        <v>-1136295388</v>
      </c>
      <c r="K28" s="8"/>
      <c r="M28" s="8">
        <v>-1136295388</v>
      </c>
      <c r="O28" s="8"/>
      <c r="Q28" s="8">
        <f t="shared" si="1"/>
        <v>-1136295388</v>
      </c>
      <c r="S28" s="7">
        <f>Q28/درآمدها!E$11</f>
        <v>1.0538578135466343E-2</v>
      </c>
    </row>
    <row r="29" spans="1:19" ht="22.5" x14ac:dyDescent="0.45">
      <c r="A29" s="48" t="s">
        <v>156</v>
      </c>
      <c r="C29" s="8"/>
      <c r="E29" s="8">
        <v>80583176</v>
      </c>
      <c r="G29" s="8"/>
      <c r="I29" s="8">
        <f t="shared" si="0"/>
        <v>80583176</v>
      </c>
      <c r="K29" s="8"/>
      <c r="M29" s="8">
        <v>80583176</v>
      </c>
      <c r="O29" s="8"/>
      <c r="Q29" s="8">
        <f t="shared" si="1"/>
        <v>80583176</v>
      </c>
      <c r="S29" s="7">
        <f>Q29/درآمدها!E$11</f>
        <v>-7.473691309922276E-4</v>
      </c>
    </row>
    <row r="30" spans="1:19" ht="22.5" x14ac:dyDescent="0.45">
      <c r="A30" s="48" t="s">
        <v>131</v>
      </c>
      <c r="C30" s="8"/>
      <c r="E30" s="8">
        <v>-4936848804</v>
      </c>
      <c r="G30" s="8"/>
      <c r="I30" s="8">
        <f t="shared" si="0"/>
        <v>-4936848804</v>
      </c>
      <c r="K30" s="8"/>
      <c r="M30" s="8">
        <v>-4936848804</v>
      </c>
      <c r="O30" s="8"/>
      <c r="Q30" s="8">
        <f t="shared" si="1"/>
        <v>-4936848804</v>
      </c>
      <c r="S30" s="7">
        <f>Q30/درآمدها!E$11</f>
        <v>4.5786832731505869E-2</v>
      </c>
    </row>
    <row r="31" spans="1:19" ht="22.5" x14ac:dyDescent="0.45">
      <c r="A31" s="48" t="s">
        <v>64</v>
      </c>
      <c r="C31" s="8"/>
      <c r="E31" s="8">
        <v>-3509317123</v>
      </c>
      <c r="G31" s="8"/>
      <c r="I31" s="8">
        <f t="shared" si="0"/>
        <v>-3509317123</v>
      </c>
      <c r="K31" s="8"/>
      <c r="M31" s="8">
        <v>-3509317123</v>
      </c>
      <c r="O31" s="8"/>
      <c r="Q31" s="8">
        <f t="shared" si="1"/>
        <v>-3509317123</v>
      </c>
      <c r="S31" s="7">
        <f>Q31/درآمدها!E$11</f>
        <v>3.2547181915399494E-2</v>
      </c>
    </row>
    <row r="32" spans="1:19" ht="22.5" x14ac:dyDescent="0.45">
      <c r="A32" s="48" t="s">
        <v>83</v>
      </c>
      <c r="C32" s="8"/>
      <c r="E32" s="8">
        <v>-411104608</v>
      </c>
      <c r="G32" s="8"/>
      <c r="I32" s="8">
        <f t="shared" si="0"/>
        <v>-411104608</v>
      </c>
      <c r="K32" s="8"/>
      <c r="M32" s="8">
        <v>-411104608</v>
      </c>
      <c r="O32" s="8"/>
      <c r="Q32" s="8">
        <f t="shared" si="1"/>
        <v>-411104608</v>
      </c>
      <c r="S32" s="7">
        <f>Q32/درآمدها!E$11</f>
        <v>3.8127920600679772E-3</v>
      </c>
    </row>
    <row r="33" spans="1:19" ht="22.5" x14ac:dyDescent="0.45">
      <c r="A33" s="48" t="s">
        <v>85</v>
      </c>
      <c r="C33" s="8"/>
      <c r="E33" s="8">
        <v>-1396907570</v>
      </c>
      <c r="G33" s="8"/>
      <c r="I33" s="8">
        <f t="shared" si="0"/>
        <v>-1396907570</v>
      </c>
      <c r="K33" s="8"/>
      <c r="M33" s="8">
        <v>-1396907570</v>
      </c>
      <c r="O33" s="8"/>
      <c r="Q33" s="8">
        <f t="shared" si="1"/>
        <v>-1396907570</v>
      </c>
      <c r="S33" s="7">
        <f>Q33/درآمدها!E$11</f>
        <v>1.2955627321853937E-2</v>
      </c>
    </row>
    <row r="34" spans="1:19" ht="22.5" x14ac:dyDescent="0.45">
      <c r="A34" s="48" t="s">
        <v>176</v>
      </c>
      <c r="C34" s="8">
        <v>994808562</v>
      </c>
      <c r="E34" s="8">
        <v>-1890105830</v>
      </c>
      <c r="G34" s="8"/>
      <c r="I34" s="8">
        <f t="shared" si="0"/>
        <v>-895297268</v>
      </c>
      <c r="K34" s="8">
        <v>994808562</v>
      </c>
      <c r="M34" s="8">
        <v>-1890105830</v>
      </c>
      <c r="O34" s="8"/>
      <c r="Q34" s="8">
        <f t="shared" si="1"/>
        <v>-895297268</v>
      </c>
      <c r="S34" s="7">
        <f>Q34/درآمدها!E$11</f>
        <v>8.3034396803232918E-3</v>
      </c>
    </row>
    <row r="35" spans="1:19" ht="22.5" x14ac:dyDescent="0.45">
      <c r="A35" s="48" t="s">
        <v>81</v>
      </c>
      <c r="C35" s="8"/>
      <c r="E35" s="8">
        <v>477144000</v>
      </c>
      <c r="G35" s="8"/>
      <c r="I35" s="8">
        <f t="shared" si="0"/>
        <v>477144000</v>
      </c>
      <c r="K35" s="8"/>
      <c r="M35" s="8">
        <v>477144000</v>
      </c>
      <c r="O35" s="8"/>
      <c r="Q35" s="8">
        <f t="shared" si="1"/>
        <v>477144000</v>
      </c>
      <c r="S35" s="7">
        <f>Q35/درآمدها!E$11</f>
        <v>-4.4252747823957132E-3</v>
      </c>
    </row>
    <row r="36" spans="1:19" ht="22.5" x14ac:dyDescent="0.45">
      <c r="A36" s="48" t="s">
        <v>125</v>
      </c>
      <c r="C36" s="8"/>
      <c r="E36" s="8">
        <v>3244579200</v>
      </c>
      <c r="G36" s="8"/>
      <c r="I36" s="8">
        <f t="shared" si="0"/>
        <v>3244579200</v>
      </c>
      <c r="K36" s="8"/>
      <c r="M36" s="8">
        <v>3244579200</v>
      </c>
      <c r="O36" s="8"/>
      <c r="Q36" s="8">
        <f t="shared" si="1"/>
        <v>3244579200</v>
      </c>
      <c r="S36" s="7">
        <f>Q36/درآمدها!E$11</f>
        <v>-3.0091868520290849E-2</v>
      </c>
    </row>
    <row r="37" spans="1:19" ht="22.5" x14ac:dyDescent="0.45">
      <c r="A37" s="48" t="s">
        <v>124</v>
      </c>
      <c r="C37" s="8">
        <v>517424689</v>
      </c>
      <c r="E37" s="8">
        <v>-1063633500</v>
      </c>
      <c r="G37" s="8"/>
      <c r="I37" s="8">
        <f t="shared" si="0"/>
        <v>-546208811</v>
      </c>
      <c r="K37" s="8">
        <v>517424689</v>
      </c>
      <c r="M37" s="8">
        <v>-1063633500</v>
      </c>
      <c r="O37" s="8"/>
      <c r="Q37" s="8">
        <f t="shared" si="1"/>
        <v>-546208811</v>
      </c>
      <c r="S37" s="7">
        <f>Q37/درآمدها!E$11</f>
        <v>5.0658167707037004E-3</v>
      </c>
    </row>
    <row r="38" spans="1:19" ht="22.5" x14ac:dyDescent="0.45">
      <c r="A38" s="48" t="s">
        <v>69</v>
      </c>
      <c r="C38" s="8"/>
      <c r="E38" s="8">
        <v>-12579768527</v>
      </c>
      <c r="G38" s="8"/>
      <c r="I38" s="8">
        <f t="shared" si="0"/>
        <v>-12579768527</v>
      </c>
      <c r="K38" s="8"/>
      <c r="M38" s="8">
        <v>-12579768527</v>
      </c>
      <c r="O38" s="8"/>
      <c r="Q38" s="8">
        <f t="shared" si="1"/>
        <v>-12579768527</v>
      </c>
      <c r="S38" s="7">
        <f>Q38/درآمدها!E$11</f>
        <v>0.11667113582253652</v>
      </c>
    </row>
    <row r="39" spans="1:19" ht="22.5" x14ac:dyDescent="0.45">
      <c r="A39" s="48" t="s">
        <v>72</v>
      </c>
      <c r="C39" s="8"/>
      <c r="E39" s="8">
        <v>-2615986735</v>
      </c>
      <c r="G39" s="8"/>
      <c r="I39" s="8">
        <f t="shared" si="0"/>
        <v>-2615986735</v>
      </c>
      <c r="K39" s="8"/>
      <c r="M39" s="8">
        <v>-2615986735</v>
      </c>
      <c r="O39" s="8"/>
      <c r="Q39" s="8">
        <f t="shared" si="1"/>
        <v>-2615986735</v>
      </c>
      <c r="S39" s="7">
        <f>Q39/درآمدها!E$11</f>
        <v>2.4261984074990355E-2</v>
      </c>
    </row>
    <row r="40" spans="1:19" ht="22.5" x14ac:dyDescent="0.45">
      <c r="A40" s="48" t="s">
        <v>84</v>
      </c>
      <c r="C40" s="8"/>
      <c r="E40" s="8">
        <v>-4114431917</v>
      </c>
      <c r="G40" s="8"/>
      <c r="I40" s="8">
        <f t="shared" si="0"/>
        <v>-4114431917</v>
      </c>
      <c r="K40" s="8"/>
      <c r="M40" s="8">
        <v>-4114431917</v>
      </c>
      <c r="O40" s="8"/>
      <c r="Q40" s="8">
        <f t="shared" si="1"/>
        <v>-4114431917</v>
      </c>
      <c r="S40" s="7">
        <f>Q40/درآمدها!E$11</f>
        <v>3.8159322565481602E-2</v>
      </c>
    </row>
    <row r="41" spans="1:19" ht="22.5" x14ac:dyDescent="0.45">
      <c r="A41" s="48" t="s">
        <v>65</v>
      </c>
      <c r="C41" s="8"/>
      <c r="E41" s="8">
        <v>-7383138937</v>
      </c>
      <c r="G41" s="8"/>
      <c r="I41" s="8">
        <f t="shared" si="0"/>
        <v>-7383138937</v>
      </c>
      <c r="K41" s="8"/>
      <c r="M41" s="8">
        <v>-7383138937</v>
      </c>
      <c r="O41" s="8"/>
      <c r="Q41" s="8">
        <f t="shared" si="1"/>
        <v>-7383138937</v>
      </c>
      <c r="S41" s="7">
        <f>Q41/درآمدها!E$11</f>
        <v>6.8474964691644435E-2</v>
      </c>
    </row>
    <row r="42" spans="1:19" ht="22.5" x14ac:dyDescent="0.45">
      <c r="A42" s="48" t="s">
        <v>174</v>
      </c>
      <c r="C42" s="8"/>
      <c r="E42" s="8">
        <v>-102586909</v>
      </c>
      <c r="G42" s="8"/>
      <c r="I42" s="8">
        <f t="shared" si="0"/>
        <v>-102586909</v>
      </c>
      <c r="K42" s="8"/>
      <c r="M42" s="8">
        <v>-102586909</v>
      </c>
      <c r="O42" s="8"/>
      <c r="Q42" s="8">
        <f t="shared" si="1"/>
        <v>-102586909</v>
      </c>
      <c r="S42" s="7">
        <f>Q42/درآمدها!E$11</f>
        <v>9.5144287972105657E-4</v>
      </c>
    </row>
    <row r="43" spans="1:19" ht="22.5" x14ac:dyDescent="0.45">
      <c r="A43" s="48" t="s">
        <v>79</v>
      </c>
      <c r="C43" s="8">
        <v>3180695805</v>
      </c>
      <c r="E43" s="8">
        <v>-4026101423</v>
      </c>
      <c r="G43" s="8">
        <v>-32408878</v>
      </c>
      <c r="I43" s="8">
        <f t="shared" si="0"/>
        <v>-877814496</v>
      </c>
      <c r="K43" s="8">
        <v>3180695805</v>
      </c>
      <c r="M43" s="8">
        <v>-4026101423</v>
      </c>
      <c r="O43" s="8">
        <v>-32408878</v>
      </c>
      <c r="Q43" s="8">
        <f t="shared" si="1"/>
        <v>-877814496</v>
      </c>
      <c r="S43" s="7">
        <f>Q43/درآمدها!E$11</f>
        <v>8.1412956104869871E-3</v>
      </c>
    </row>
    <row r="44" spans="1:19" ht="22.5" x14ac:dyDescent="0.45">
      <c r="A44" s="48" t="s">
        <v>80</v>
      </c>
      <c r="C44" s="8"/>
      <c r="E44" s="8">
        <v>-223661250</v>
      </c>
      <c r="G44" s="8"/>
      <c r="I44" s="8">
        <f t="shared" si="0"/>
        <v>-223661250</v>
      </c>
      <c r="K44" s="8"/>
      <c r="M44" s="8">
        <v>-223661250</v>
      </c>
      <c r="O44" s="8"/>
      <c r="Q44" s="8">
        <f t="shared" si="1"/>
        <v>-223661250</v>
      </c>
      <c r="S44" s="7">
        <f>Q44/درآمدها!E$11</f>
        <v>2.0743475542479906E-3</v>
      </c>
    </row>
    <row r="45" spans="1:19" ht="22.5" x14ac:dyDescent="0.45">
      <c r="A45" s="48" t="s">
        <v>134</v>
      </c>
      <c r="C45" s="8"/>
      <c r="E45" s="8">
        <v>-3282980746</v>
      </c>
      <c r="G45" s="8"/>
      <c r="I45" s="8">
        <f t="shared" si="0"/>
        <v>-3282980746</v>
      </c>
      <c r="K45" s="8"/>
      <c r="M45" s="8">
        <v>-3282980746</v>
      </c>
      <c r="O45" s="8"/>
      <c r="Q45" s="8">
        <f t="shared" si="1"/>
        <v>-3282980746</v>
      </c>
      <c r="S45" s="7">
        <f>Q45/درآمدها!E$11</f>
        <v>3.0448023880347373E-2</v>
      </c>
    </row>
    <row r="46" spans="1:19" ht="22.5" x14ac:dyDescent="0.45">
      <c r="A46" s="48" t="s">
        <v>77</v>
      </c>
      <c r="C46" s="8"/>
      <c r="E46" s="8">
        <v>-1917306015</v>
      </c>
      <c r="G46" s="8"/>
      <c r="I46" s="8">
        <f t="shared" si="0"/>
        <v>-1917306015</v>
      </c>
      <c r="K46" s="8"/>
      <c r="M46" s="8">
        <v>-1917306015</v>
      </c>
      <c r="O46" s="8"/>
      <c r="Q46" s="8">
        <f t="shared" si="1"/>
        <v>-1917306015</v>
      </c>
      <c r="S46" s="7">
        <f>Q46/درآمدها!E$11</f>
        <v>1.7782065704095865E-2</v>
      </c>
    </row>
    <row r="47" spans="1:19" ht="22.5" x14ac:dyDescent="0.45">
      <c r="A47" s="48" t="s">
        <v>76</v>
      </c>
      <c r="C47" s="8"/>
      <c r="E47" s="8">
        <v>208409640</v>
      </c>
      <c r="G47" s="8"/>
      <c r="I47" s="8">
        <f t="shared" si="0"/>
        <v>208409640</v>
      </c>
      <c r="K47" s="8"/>
      <c r="M47" s="8">
        <v>208409640</v>
      </c>
      <c r="O47" s="8"/>
      <c r="Q47" s="8">
        <f t="shared" si="1"/>
        <v>208409640</v>
      </c>
      <c r="S47" s="7">
        <f>Q47/درآمدها!E$11</f>
        <v>-1.9328964092604516E-3</v>
      </c>
    </row>
    <row r="48" spans="1:19" ht="22.5" x14ac:dyDescent="0.45">
      <c r="A48" s="48" t="s">
        <v>78</v>
      </c>
      <c r="C48" s="8">
        <v>6452802630</v>
      </c>
      <c r="E48" s="8">
        <v>-8240231730</v>
      </c>
      <c r="G48" s="8"/>
      <c r="I48" s="8">
        <f t="shared" si="0"/>
        <v>-1787429100</v>
      </c>
      <c r="K48" s="8">
        <v>6452802630</v>
      </c>
      <c r="M48" s="8">
        <v>-8240231730</v>
      </c>
      <c r="O48" s="8"/>
      <c r="Q48" s="8">
        <f t="shared" si="1"/>
        <v>-1787429100</v>
      </c>
      <c r="S48" s="7">
        <f>Q48/درآمدها!E$11</f>
        <v>1.6577521506191559E-2</v>
      </c>
    </row>
    <row r="49" spans="1:19" ht="22.5" x14ac:dyDescent="0.45">
      <c r="A49" s="48" t="s">
        <v>160</v>
      </c>
      <c r="C49" s="8"/>
      <c r="E49" s="8">
        <v>-658174516</v>
      </c>
      <c r="G49" s="8"/>
      <c r="I49" s="8">
        <f t="shared" si="0"/>
        <v>-658174516</v>
      </c>
      <c r="K49" s="8"/>
      <c r="M49" s="8">
        <v>-658174516</v>
      </c>
      <c r="O49" s="8"/>
      <c r="Q49" s="8">
        <f t="shared" si="1"/>
        <v>-658174516</v>
      </c>
      <c r="S49" s="7">
        <f>Q49/درآمدها!E$11</f>
        <v>6.1042433480674677E-3</v>
      </c>
    </row>
    <row r="50" spans="1:19" ht="22.5" x14ac:dyDescent="0.45">
      <c r="A50" s="48" t="s">
        <v>161</v>
      </c>
      <c r="C50" s="8"/>
      <c r="E50" s="8">
        <v>-6249035</v>
      </c>
      <c r="G50" s="8"/>
      <c r="I50" s="8">
        <f t="shared" si="0"/>
        <v>-6249035</v>
      </c>
      <c r="K50" s="8"/>
      <c r="M50" s="8">
        <v>-6249035</v>
      </c>
      <c r="O50" s="8"/>
      <c r="Q50" s="8">
        <f t="shared" si="1"/>
        <v>-6249035</v>
      </c>
      <c r="S50" s="7">
        <f>Q50/درآمدها!E$11</f>
        <v>5.795671118112812E-5</v>
      </c>
    </row>
    <row r="51" spans="1:19" ht="22.5" x14ac:dyDescent="0.45">
      <c r="A51" s="48" t="s">
        <v>184</v>
      </c>
      <c r="C51" s="8"/>
      <c r="E51" s="8"/>
      <c r="G51" s="8">
        <v>-10570927091</v>
      </c>
      <c r="I51" s="8">
        <f t="shared" si="0"/>
        <v>-10570927091</v>
      </c>
      <c r="K51" s="8"/>
      <c r="M51" s="8"/>
      <c r="O51" s="8">
        <v>-10570927091</v>
      </c>
      <c r="Q51" s="8">
        <f t="shared" si="1"/>
        <v>-10570927091</v>
      </c>
      <c r="S51" s="7">
        <f>Q51/درآمدها!E$11</f>
        <v>9.8040124327972211E-2</v>
      </c>
    </row>
    <row r="52" spans="1:19" ht="22.5" x14ac:dyDescent="0.45">
      <c r="A52" s="48" t="s">
        <v>185</v>
      </c>
      <c r="C52" s="8"/>
      <c r="E52" s="8"/>
      <c r="G52" s="8">
        <v>-1944991714</v>
      </c>
      <c r="I52" s="8">
        <f t="shared" si="0"/>
        <v>-1944991714</v>
      </c>
      <c r="K52" s="8"/>
      <c r="M52" s="8"/>
      <c r="O52" s="8">
        <v>-1944991714</v>
      </c>
      <c r="Q52" s="8">
        <f t="shared" si="1"/>
        <v>-1944991714</v>
      </c>
      <c r="S52" s="7">
        <f>Q52/درآمدها!E$11</f>
        <v>1.8038836879291819E-2</v>
      </c>
    </row>
    <row r="53" spans="1:19" ht="22.5" x14ac:dyDescent="0.45">
      <c r="A53" s="48" t="s">
        <v>182</v>
      </c>
      <c r="C53" s="8"/>
      <c r="E53" s="8"/>
      <c r="G53" s="8">
        <v>-42773136</v>
      </c>
      <c r="I53" s="8">
        <f t="shared" si="0"/>
        <v>-42773136</v>
      </c>
      <c r="K53" s="8"/>
      <c r="M53" s="8"/>
      <c r="O53" s="8">
        <v>-42773136</v>
      </c>
      <c r="Q53" s="8">
        <f t="shared" si="1"/>
        <v>-42773136</v>
      </c>
      <c r="S53" s="7">
        <f>Q53/درآمدها!E$11</f>
        <v>3.9669969674727595E-4</v>
      </c>
    </row>
    <row r="54" spans="1:19" ht="22.5" x14ac:dyDescent="0.45">
      <c r="A54" s="48" t="s">
        <v>191</v>
      </c>
      <c r="C54" s="8"/>
      <c r="E54" s="8">
        <v>-738803568</v>
      </c>
      <c r="G54" s="8"/>
      <c r="I54" s="8">
        <f t="shared" si="0"/>
        <v>-738803568</v>
      </c>
      <c r="K54" s="8"/>
      <c r="M54" s="8">
        <v>-738803568</v>
      </c>
      <c r="O54" s="8"/>
      <c r="Q54" s="8">
        <f t="shared" si="1"/>
        <v>-738803568</v>
      </c>
      <c r="S54" s="7">
        <f>Q54/درآمدها!E$11</f>
        <v>6.8520379562865222E-3</v>
      </c>
    </row>
    <row r="55" spans="1:19" ht="22.5" x14ac:dyDescent="0.45">
      <c r="A55" s="48" t="s">
        <v>181</v>
      </c>
      <c r="C55" s="8"/>
      <c r="E55" s="8"/>
      <c r="G55" s="8">
        <v>86317927</v>
      </c>
      <c r="I55" s="8">
        <f t="shared" si="0"/>
        <v>86317927</v>
      </c>
      <c r="K55" s="8"/>
      <c r="M55" s="8"/>
      <c r="O55" s="8">
        <v>86317927</v>
      </c>
      <c r="Q55" s="8">
        <f t="shared" si="1"/>
        <v>86317927</v>
      </c>
      <c r="S55" s="7">
        <f>Q55/درآمدها!E$11</f>
        <v>-8.0055611224656297E-4</v>
      </c>
    </row>
    <row r="56" spans="1:19" ht="22.5" x14ac:dyDescent="0.45">
      <c r="A56" s="48" t="s">
        <v>186</v>
      </c>
      <c r="C56" s="8"/>
      <c r="E56" s="8"/>
      <c r="G56" s="8">
        <v>10814025200</v>
      </c>
      <c r="I56" s="8">
        <f t="shared" si="0"/>
        <v>10814025200</v>
      </c>
      <c r="K56" s="8"/>
      <c r="M56" s="8"/>
      <c r="O56" s="8">
        <v>10814025200</v>
      </c>
      <c r="Q56" s="8">
        <f t="shared" si="1"/>
        <v>10814025200</v>
      </c>
      <c r="S56" s="7">
        <f>Q56/درآمدها!E$11</f>
        <v>-0.10029473914321832</v>
      </c>
    </row>
    <row r="57" spans="1:19" ht="22.5" x14ac:dyDescent="0.45">
      <c r="A57" s="48" t="s">
        <v>189</v>
      </c>
      <c r="C57" s="8"/>
      <c r="E57" s="8"/>
      <c r="G57" s="8">
        <v>8142054001</v>
      </c>
      <c r="I57" s="8">
        <f t="shared" si="0"/>
        <v>8142054001</v>
      </c>
      <c r="K57" s="8"/>
      <c r="M57" s="8"/>
      <c r="O57" s="8">
        <v>8142054001</v>
      </c>
      <c r="Q57" s="8">
        <f t="shared" si="1"/>
        <v>8142054001</v>
      </c>
      <c r="S57" s="7">
        <f>Q57/درآمدها!E$11</f>
        <v>-7.5513526833680025E-2</v>
      </c>
    </row>
    <row r="58" spans="1:19" ht="22.5" x14ac:dyDescent="0.45">
      <c r="A58" s="48" t="s">
        <v>190</v>
      </c>
      <c r="C58" s="8"/>
      <c r="E58" s="8"/>
      <c r="G58" s="8">
        <v>-14216161614</v>
      </c>
      <c r="I58" s="8">
        <f t="shared" si="0"/>
        <v>-14216161614</v>
      </c>
      <c r="K58" s="8"/>
      <c r="M58" s="8"/>
      <c r="O58" s="8">
        <v>-14216161614</v>
      </c>
      <c r="Q58" s="8">
        <f t="shared" si="1"/>
        <v>-14216161614</v>
      </c>
      <c r="S58" s="7">
        <f>Q58/درآمدها!E$11</f>
        <v>0.13184787295427824</v>
      </c>
    </row>
    <row r="59" spans="1:19" ht="22.5" x14ac:dyDescent="0.45">
      <c r="A59" s="48" t="s">
        <v>193</v>
      </c>
      <c r="C59" s="8"/>
      <c r="E59" s="8">
        <v>-2703716675</v>
      </c>
      <c r="G59" s="8"/>
      <c r="I59" s="8">
        <f t="shared" si="0"/>
        <v>-2703716675</v>
      </c>
      <c r="K59" s="8"/>
      <c r="M59" s="8">
        <v>-2703716675</v>
      </c>
      <c r="O59" s="8"/>
      <c r="Q59" s="8">
        <f t="shared" si="1"/>
        <v>-2703716675</v>
      </c>
      <c r="S59" s="7">
        <f>Q59/درآمدها!E$11</f>
        <v>2.5075635909956505E-2</v>
      </c>
    </row>
    <row r="60" spans="1:19" ht="22.5" x14ac:dyDescent="0.45">
      <c r="A60" s="48" t="s">
        <v>192</v>
      </c>
      <c r="C60" s="8"/>
      <c r="E60" s="8">
        <v>-2489172618</v>
      </c>
      <c r="G60" s="8"/>
      <c r="I60" s="8">
        <f t="shared" si="0"/>
        <v>-2489172618</v>
      </c>
      <c r="K60" s="8"/>
      <c r="M60" s="8">
        <v>-2489172618</v>
      </c>
      <c r="O60" s="8"/>
      <c r="Q60" s="8">
        <f t="shared" si="1"/>
        <v>-2489172618</v>
      </c>
      <c r="S60" s="7">
        <f>Q60/درآمدها!E$11</f>
        <v>2.3085845814817579E-2</v>
      </c>
    </row>
    <row r="61" spans="1:19" ht="22.5" x14ac:dyDescent="0.45">
      <c r="A61" s="48" t="s">
        <v>187</v>
      </c>
      <c r="C61" s="8"/>
      <c r="E61" s="8"/>
      <c r="G61" s="8">
        <v>2434878000</v>
      </c>
      <c r="I61" s="8">
        <f t="shared" si="0"/>
        <v>2434878000</v>
      </c>
      <c r="K61" s="8"/>
      <c r="M61" s="8"/>
      <c r="O61" s="8">
        <v>2434878000</v>
      </c>
      <c r="Q61" s="8">
        <f t="shared" si="1"/>
        <v>2434878000</v>
      </c>
      <c r="S61" s="7">
        <f>Q61/درآمدها!E$11</f>
        <v>-2.2582290066751567E-2</v>
      </c>
    </row>
    <row r="62" spans="1:19" ht="22.5" x14ac:dyDescent="0.45">
      <c r="A62" s="48" t="s">
        <v>183</v>
      </c>
      <c r="C62" s="8"/>
      <c r="E62" s="8"/>
      <c r="G62" s="8">
        <v>-602340624</v>
      </c>
      <c r="I62" s="8">
        <f t="shared" si="0"/>
        <v>-602340624</v>
      </c>
      <c r="K62" s="8"/>
      <c r="M62" s="8"/>
      <c r="O62" s="8">
        <v>-602340624</v>
      </c>
      <c r="Q62" s="8">
        <f t="shared" si="1"/>
        <v>-602340624</v>
      </c>
      <c r="S62" s="7">
        <f>Q62/درآمدها!E$11</f>
        <v>5.586411594402734E-3</v>
      </c>
    </row>
    <row r="63" spans="1:19" ht="22.5" x14ac:dyDescent="0.45">
      <c r="A63" s="48" t="s">
        <v>180</v>
      </c>
      <c r="C63" s="8"/>
      <c r="E63" s="8"/>
      <c r="G63" s="8">
        <v>-2230816985</v>
      </c>
      <c r="I63" s="8">
        <f t="shared" si="0"/>
        <v>-2230816985</v>
      </c>
      <c r="K63" s="8"/>
      <c r="M63" s="8"/>
      <c r="O63" s="8">
        <v>-2230816985</v>
      </c>
      <c r="Q63" s="8">
        <f t="shared" si="1"/>
        <v>-2230816985</v>
      </c>
      <c r="S63" s="7">
        <f>Q63/درآمدها!E$11</f>
        <v>2.0689725005156801E-2</v>
      </c>
    </row>
    <row r="64" spans="1:19" ht="23.25" thickBot="1" x14ac:dyDescent="0.5">
      <c r="A64" s="49" t="s">
        <v>1</v>
      </c>
      <c r="C64" s="5">
        <f>SUM(C9:C63)</f>
        <v>19436185697</v>
      </c>
      <c r="E64" s="5">
        <f>SUM(E9:E63)</f>
        <v>-119325269446</v>
      </c>
      <c r="F64" s="62"/>
      <c r="G64" s="5">
        <f>SUM(G9:G63)</f>
        <v>-8163144914</v>
      </c>
      <c r="I64" s="5">
        <f>SUM(I9:I63)</f>
        <v>-108052228663</v>
      </c>
      <c r="K64" s="5">
        <f>SUM(K9:K63)</f>
        <v>19436185697</v>
      </c>
      <c r="M64" s="5">
        <f>SUM(M9:M63)</f>
        <v>-119325269446</v>
      </c>
      <c r="O64" s="5">
        <f>SUM(O9:O63)</f>
        <v>-8163144914</v>
      </c>
      <c r="Q64" s="5">
        <f>SUM(Q9:Q63)</f>
        <v>-108052228663</v>
      </c>
      <c r="S64" s="4">
        <f>SUM(S9:S63)</f>
        <v>1.0021310184850467</v>
      </c>
    </row>
    <row r="65" spans="1:19" ht="19.5" thickTop="1" x14ac:dyDescent="0.45">
      <c r="C65" s="3"/>
      <c r="E65" s="3"/>
      <c r="G65" s="3"/>
      <c r="I65" s="3"/>
      <c r="K65" s="3"/>
      <c r="M65" s="3"/>
      <c r="O65" s="3"/>
      <c r="Q65" s="3"/>
      <c r="S65" s="3"/>
    </row>
    <row r="67" spans="1:19" ht="18.75" x14ac:dyDescent="0.45">
      <c r="A67" s="48"/>
      <c r="K67" s="25"/>
      <c r="O67" s="29"/>
    </row>
    <row r="68" spans="1:19" x14ac:dyDescent="0.45">
      <c r="C68" s="29"/>
      <c r="K68" s="50"/>
      <c r="O68" s="29"/>
    </row>
    <row r="70" spans="1:19" x14ac:dyDescent="0.45">
      <c r="O70" s="29"/>
    </row>
    <row r="72" spans="1:19" x14ac:dyDescent="0.45">
      <c r="E72" s="25"/>
    </row>
    <row r="76" spans="1:19" x14ac:dyDescent="0.45">
      <c r="E76" s="50"/>
    </row>
  </sheetData>
  <sortState xmlns:xlrd2="http://schemas.microsoft.com/office/spreadsheetml/2017/richdata2" ref="A9:G63">
    <sortCondition ref="A9:A63"/>
  </sortState>
  <mergeCells count="6">
    <mergeCell ref="A1:S1"/>
    <mergeCell ref="A2:S2"/>
    <mergeCell ref="A3:S3"/>
    <mergeCell ref="A5:S5"/>
    <mergeCell ref="C7:J7"/>
    <mergeCell ref="K7:S7"/>
  </mergeCells>
  <conditionalFormatting sqref="A9:A63">
    <cfRule type="duplicateValues" dxfId="1" priority="3"/>
    <cfRule type="duplicateValues" dxfId="0" priority="4"/>
  </conditionalFormatting>
  <pageMargins left="0.7" right="0.7" top="0.75" bottom="0.75" header="0.3" footer="0.3"/>
  <pageSetup paperSize="9" scale="49" fitToHeight="0" orientation="landscape" r:id="rId1"/>
  <rowBreaks count="1" manualBreakCount="1">
    <brk id="4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HeadingPairs>
  <TitlesOfParts>
    <vt:vector size="33" baseType="lpstr">
      <vt:lpstr>روکش</vt:lpstr>
      <vt:lpstr>سهام</vt:lpstr>
      <vt:lpstr>سپرده</vt:lpstr>
      <vt:lpstr>درآمدها</vt:lpstr>
      <vt:lpstr>درآمد ناشی از فروش اوراق</vt:lpstr>
      <vt:lpstr>درآمد ناشی از تغییر قیمت اوراق </vt:lpstr>
      <vt:lpstr>درآمد سپرده</vt:lpstr>
      <vt:lpstr>درآمد سود سهام</vt:lpstr>
      <vt:lpstr>درآمد سرمایه گذاری در سهام </vt:lpstr>
      <vt:lpstr>سود اوراق بهادار و سپرده بانکی</vt:lpstr>
      <vt:lpstr>سایر درآمدها</vt:lpstr>
      <vt:lpstr>data</vt:lpstr>
      <vt:lpstr>data2</vt:lpstr>
      <vt:lpstr>data22</vt:lpstr>
      <vt:lpstr>data3</vt:lpstr>
      <vt:lpstr>data5</vt:lpstr>
      <vt:lpstr>data6</vt:lpstr>
      <vt:lpstr>'درآمد سپرده'!Print_Area</vt:lpstr>
      <vt:lpstr>'درآمد سرمایه گذاری در سهام '!Print_Area</vt:lpstr>
      <vt:lpstr>'درآمد سود سهام'!Print_Area</vt:lpstr>
      <vt:lpstr>'درآمد ناشی از تغییر قیمت اوراق '!Print_Area</vt:lpstr>
      <vt:lpstr>'درآمد ناشی از فروش اوراق'!Print_Area</vt:lpstr>
      <vt:lpstr>درآمدها!Print_Area</vt:lpstr>
      <vt:lpstr>روکش!Print_Area</vt:lpstr>
      <vt:lpstr>'سایر درآمدها'!Print_Area</vt:lpstr>
      <vt:lpstr>سپرده!Print_Area</vt:lpstr>
      <vt:lpstr>'سود اوراق بهادار و سپرده بانکی'!Print_Area</vt:lpstr>
      <vt:lpstr>سهام!Print_Area</vt:lpstr>
      <vt:lpstr>'درآمد سپرده'!Print_Titles</vt:lpstr>
      <vt:lpstr>'درآمد سرمایه گذاری در سهام '!Print_Titles</vt:lpstr>
      <vt:lpstr>'درآمد ناشی از تغییر قیمت اوراق '!Print_Titles</vt:lpstr>
      <vt:lpstr>'درآمد ناشی از فروش اوراق'!Print_Titles</vt:lpstr>
      <vt:lpstr>سپرده!Print_Titles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rahim gholizade</dc:creator>
  <cp:lastModifiedBy>Samaneh Khanbeigy</cp:lastModifiedBy>
  <cp:lastPrinted>2023-07-31T10:46:10Z</cp:lastPrinted>
  <dcterms:created xsi:type="dcterms:W3CDTF">2023-02-14T05:01:44Z</dcterms:created>
  <dcterms:modified xsi:type="dcterms:W3CDTF">2023-08-01T13:46:35Z</dcterms:modified>
</cp:coreProperties>
</file>